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855" yWindow="-165" windowWidth="16170" windowHeight="12780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2020-2022" sheetId="26" r:id="rId4"/>
    <sheet name="№ 1 производ. продукции" sheetId="27" r:id="rId5"/>
    <sheet name="№ 2 Хлеб" sheetId="28" r:id="rId6"/>
    <sheet name="№ 3 Олени" sheetId="29" r:id="rId7"/>
    <sheet name="№ 4 строительство" sheetId="30" r:id="rId8"/>
  </sheets>
  <definedNames>
    <definedName name="_xlnm._FilterDatabase" localSheetId="2" hidden="1">'РАСХОДЫ ПРОГРАММЫ'!$A$3:$B$27</definedName>
    <definedName name="_xlnm.Print_Titles" localSheetId="2">'РАСХОДЫ ПРОГРАММЫ'!#REF!</definedName>
    <definedName name="_xlnm.Print_Area" localSheetId="4">'№ 1 производ. продукции'!$A$1:$H$23</definedName>
    <definedName name="_xlnm.Print_Area" localSheetId="1">'ДОХОДЫ РАСХОДЫ ИСТОЧНИКИ'!$C$1:$F$125</definedName>
    <definedName name="_xlnm.Print_Area" localSheetId="3">'Прогноз 2020-2022'!$A$1:$Q$115</definedName>
  </definedNames>
  <calcPr calcId="125725"/>
</workbook>
</file>

<file path=xl/calcChain.xml><?xml version="1.0" encoding="utf-8"?>
<calcChain xmlns="http://schemas.openxmlformats.org/spreadsheetml/2006/main">
  <c r="E109" i="4"/>
  <c r="E104"/>
  <c r="E102"/>
  <c r="E100"/>
  <c r="E94"/>
  <c r="E89"/>
  <c r="E85"/>
  <c r="E80"/>
  <c r="E71"/>
  <c r="E5"/>
  <c r="E12"/>
  <c r="E27"/>
  <c r="E21" s="1"/>
  <c r="E53"/>
  <c r="E48" s="1"/>
  <c r="K13" i="29"/>
  <c r="J13"/>
  <c r="I13"/>
  <c r="H13"/>
  <c r="G13"/>
  <c r="F13"/>
  <c r="E13"/>
  <c r="D13"/>
  <c r="C13"/>
  <c r="B13"/>
  <c r="E11" i="28"/>
  <c r="D11"/>
  <c r="C11"/>
  <c r="H14" i="27"/>
  <c r="G14"/>
  <c r="F14"/>
  <c r="E14"/>
  <c r="D14"/>
  <c r="H10"/>
  <c r="G10"/>
  <c r="F10"/>
  <c r="E10"/>
  <c r="D10"/>
  <c r="J131" i="26"/>
  <c r="C115"/>
  <c r="Q114"/>
  <c r="P114"/>
  <c r="O114"/>
  <c r="E112"/>
  <c r="C112"/>
  <c r="I111"/>
  <c r="H111"/>
  <c r="D111"/>
  <c r="C111"/>
  <c r="H110"/>
  <c r="G110"/>
  <c r="F110"/>
  <c r="E110"/>
  <c r="C110"/>
  <c r="H109"/>
  <c r="G109"/>
  <c r="F109"/>
  <c r="E109"/>
  <c r="C109"/>
  <c r="I108"/>
  <c r="H108"/>
  <c r="H105" s="1"/>
  <c r="G108"/>
  <c r="G105" s="1"/>
  <c r="F108"/>
  <c r="E108"/>
  <c r="Q105"/>
  <c r="P105"/>
  <c r="O105"/>
  <c r="N105"/>
  <c r="M105"/>
  <c r="L105"/>
  <c r="K105"/>
  <c r="J105"/>
  <c r="I105"/>
  <c r="F105"/>
  <c r="E105"/>
  <c r="D105"/>
  <c r="Q102"/>
  <c r="P102"/>
  <c r="O102"/>
  <c r="N102"/>
  <c r="M102"/>
  <c r="L102"/>
  <c r="K102"/>
  <c r="J102"/>
  <c r="I102"/>
  <c r="H102"/>
  <c r="G102"/>
  <c r="F102"/>
  <c r="Q101"/>
  <c r="P101"/>
  <c r="O101"/>
  <c r="N101"/>
  <c r="M101"/>
  <c r="L101"/>
  <c r="K101"/>
  <c r="J101"/>
  <c r="I101"/>
  <c r="H101"/>
  <c r="G101"/>
  <c r="F101"/>
  <c r="Q100"/>
  <c r="P100"/>
  <c r="O100"/>
  <c r="N100"/>
  <c r="M100"/>
  <c r="L100"/>
  <c r="K100"/>
  <c r="J100"/>
  <c r="I100"/>
  <c r="H100"/>
  <c r="G100"/>
  <c r="F100"/>
  <c r="E100"/>
  <c r="Q99"/>
  <c r="P99"/>
  <c r="O99"/>
  <c r="N99"/>
  <c r="M99"/>
  <c r="L99"/>
  <c r="K99"/>
  <c r="J99"/>
  <c r="I99"/>
  <c r="H99"/>
  <c r="G99"/>
  <c r="F99"/>
  <c r="E99"/>
  <c r="Q98"/>
  <c r="P98"/>
  <c r="O98"/>
  <c r="N98"/>
  <c r="M98"/>
  <c r="L98"/>
  <c r="K98"/>
  <c r="J98"/>
  <c r="I98"/>
  <c r="H98"/>
  <c r="G98"/>
  <c r="F98"/>
  <c r="E98"/>
  <c r="Q97"/>
  <c r="P97"/>
  <c r="O97"/>
  <c r="N97"/>
  <c r="M97"/>
  <c r="L97"/>
  <c r="K97"/>
  <c r="J97"/>
  <c r="I97"/>
  <c r="H97"/>
  <c r="G97"/>
  <c r="F97"/>
  <c r="E97"/>
  <c r="Q96"/>
  <c r="P96"/>
  <c r="O96"/>
  <c r="N96"/>
  <c r="M96"/>
  <c r="L96"/>
  <c r="K96"/>
  <c r="J96"/>
  <c r="I96"/>
  <c r="H96"/>
  <c r="G96"/>
  <c r="F96"/>
  <c r="O93"/>
  <c r="N93"/>
  <c r="M93"/>
  <c r="L93"/>
  <c r="K93"/>
  <c r="J93"/>
  <c r="I93"/>
  <c r="H93"/>
  <c r="G93"/>
  <c r="E93"/>
  <c r="H91"/>
  <c r="G91"/>
  <c r="Q90"/>
  <c r="P90"/>
  <c r="O90"/>
  <c r="N90"/>
  <c r="M90"/>
  <c r="L90"/>
  <c r="K90"/>
  <c r="J90"/>
  <c r="I90"/>
  <c r="H90"/>
  <c r="G90"/>
  <c r="F90"/>
  <c r="E90"/>
  <c r="F85"/>
  <c r="L84"/>
  <c r="E84"/>
  <c r="E83" s="1"/>
  <c r="E80" s="1"/>
  <c r="Q83"/>
  <c r="P83"/>
  <c r="P80" s="1"/>
  <c r="O83"/>
  <c r="N83"/>
  <c r="M83"/>
  <c r="L83"/>
  <c r="L80" s="1"/>
  <c r="K83"/>
  <c r="J83"/>
  <c r="I83"/>
  <c r="H83"/>
  <c r="G83"/>
  <c r="F83"/>
  <c r="C83"/>
  <c r="K82"/>
  <c r="J82"/>
  <c r="I82"/>
  <c r="H82"/>
  <c r="H80" s="1"/>
  <c r="G82"/>
  <c r="F82"/>
  <c r="E82"/>
  <c r="D82"/>
  <c r="D80" s="1"/>
  <c r="C82"/>
  <c r="Q80"/>
  <c r="O80"/>
  <c r="N80"/>
  <c r="M80"/>
  <c r="K80"/>
  <c r="J80"/>
  <c r="I80"/>
  <c r="G80"/>
  <c r="F80"/>
  <c r="C80"/>
  <c r="C69"/>
  <c r="G68"/>
  <c r="F68"/>
  <c r="C68"/>
  <c r="F66"/>
  <c r="E66"/>
  <c r="C66"/>
  <c r="K64"/>
  <c r="J64"/>
  <c r="I64"/>
  <c r="H64"/>
  <c r="G64"/>
  <c r="F64"/>
  <c r="E64"/>
  <c r="D64"/>
  <c r="C64"/>
  <c r="G63"/>
  <c r="F63"/>
  <c r="C63"/>
  <c r="G62"/>
  <c r="F62"/>
  <c r="E62"/>
  <c r="C62"/>
  <c r="K61"/>
  <c r="J61"/>
  <c r="I61"/>
  <c r="H61"/>
  <c r="G61"/>
  <c r="F61"/>
  <c r="E61"/>
  <c r="D61"/>
  <c r="C61"/>
  <c r="I59"/>
  <c r="L57"/>
  <c r="K48"/>
  <c r="J48"/>
  <c r="I48"/>
  <c r="H48"/>
  <c r="G48"/>
  <c r="F48"/>
  <c r="E48"/>
  <c r="O41"/>
  <c r="K41"/>
  <c r="J41"/>
  <c r="I41"/>
  <c r="G41"/>
  <c r="Q40"/>
  <c r="Q41" s="1"/>
  <c r="P40"/>
  <c r="P41" s="1"/>
  <c r="O40"/>
  <c r="N40"/>
  <c r="M40"/>
  <c r="M41" s="1"/>
  <c r="L40"/>
  <c r="L41" s="1"/>
  <c r="G40"/>
  <c r="H41" s="1"/>
  <c r="F40"/>
  <c r="E40"/>
  <c r="E41" s="1"/>
  <c r="C40"/>
  <c r="D41" s="1"/>
  <c r="Q34"/>
  <c r="P34"/>
  <c r="O34"/>
  <c r="N34"/>
  <c r="M34"/>
  <c r="L34"/>
  <c r="K34"/>
  <c r="J34"/>
  <c r="I34"/>
  <c r="G34"/>
  <c r="Q33"/>
  <c r="P33"/>
  <c r="O33"/>
  <c r="N33"/>
  <c r="M33"/>
  <c r="L33"/>
  <c r="K33"/>
  <c r="J33"/>
  <c r="I33"/>
  <c r="H33"/>
  <c r="G33"/>
  <c r="F33"/>
  <c r="D32"/>
  <c r="C32"/>
  <c r="Q31"/>
  <c r="P31"/>
  <c r="O31"/>
  <c r="N31"/>
  <c r="M31"/>
  <c r="L31"/>
  <c r="K31"/>
  <c r="J31"/>
  <c r="I31"/>
  <c r="G30"/>
  <c r="G27" s="1"/>
  <c r="G28" s="1"/>
  <c r="F30"/>
  <c r="F27" s="1"/>
  <c r="E30"/>
  <c r="E31" s="1"/>
  <c r="D30"/>
  <c r="D31" s="1"/>
  <c r="C30"/>
  <c r="C27" s="1"/>
  <c r="N28"/>
  <c r="J28"/>
  <c r="Q27"/>
  <c r="P27"/>
  <c r="P28" s="1"/>
  <c r="O27"/>
  <c r="O28" s="1"/>
  <c r="N27"/>
  <c r="M27"/>
  <c r="L27"/>
  <c r="L28" s="1"/>
  <c r="K27"/>
  <c r="K28" s="1"/>
  <c r="J27"/>
  <c r="I27"/>
  <c r="H27"/>
  <c r="H28" s="1"/>
  <c r="D27"/>
  <c r="H25"/>
  <c r="G25"/>
  <c r="F25"/>
  <c r="C25"/>
  <c r="H24"/>
  <c r="G24"/>
  <c r="F24"/>
  <c r="C24"/>
  <c r="H23"/>
  <c r="G23"/>
  <c r="F23"/>
  <c r="C23"/>
  <c r="H21"/>
  <c r="G21"/>
  <c r="F21"/>
  <c r="Q19"/>
  <c r="P19"/>
  <c r="J19"/>
  <c r="F19"/>
  <c r="E19"/>
  <c r="O18"/>
  <c r="O19" s="1"/>
  <c r="N18"/>
  <c r="N19" s="1"/>
  <c r="M18"/>
  <c r="M19" s="1"/>
  <c r="L18"/>
  <c r="L19" s="1"/>
  <c r="K18"/>
  <c r="K19" s="1"/>
  <c r="H18"/>
  <c r="H19" s="1"/>
  <c r="G18"/>
  <c r="I19" s="1"/>
  <c r="F18"/>
  <c r="E18"/>
  <c r="C18"/>
  <c r="D19" s="1"/>
  <c r="N15"/>
  <c r="J15"/>
  <c r="F15"/>
  <c r="E15"/>
  <c r="Q14"/>
  <c r="P14"/>
  <c r="P15" s="1"/>
  <c r="O14"/>
  <c r="O15" s="1"/>
  <c r="N14"/>
  <c r="M14"/>
  <c r="L14"/>
  <c r="L15" s="1"/>
  <c r="K14"/>
  <c r="K15" s="1"/>
  <c r="J14"/>
  <c r="I14"/>
  <c r="H14"/>
  <c r="H15" s="1"/>
  <c r="G14"/>
  <c r="G15" s="1"/>
  <c r="F14"/>
  <c r="E14"/>
  <c r="C14"/>
  <c r="D15" s="1"/>
  <c r="Q11"/>
  <c r="P11"/>
  <c r="O11"/>
  <c r="N11"/>
  <c r="M11"/>
  <c r="L11"/>
  <c r="K11"/>
  <c r="J11"/>
  <c r="I11"/>
  <c r="H11"/>
  <c r="G11"/>
  <c r="F11"/>
  <c r="E11"/>
  <c r="D11"/>
  <c r="Q10"/>
  <c r="P10"/>
  <c r="O10"/>
  <c r="N10"/>
  <c r="M10"/>
  <c r="L10"/>
  <c r="K10"/>
  <c r="I10"/>
  <c r="H10"/>
  <c r="G10"/>
  <c r="F10"/>
  <c r="E10"/>
  <c r="J9"/>
  <c r="J10" s="1"/>
  <c r="C9"/>
  <c r="C10" s="1"/>
  <c r="Q8"/>
  <c r="P8"/>
  <c r="O8"/>
  <c r="N8"/>
  <c r="M8"/>
  <c r="L8"/>
  <c r="K8"/>
  <c r="J8"/>
  <c r="I8"/>
  <c r="H8"/>
  <c r="G8"/>
  <c r="F8"/>
  <c r="E8"/>
  <c r="D8"/>
  <c r="C8"/>
  <c r="E19" i="4" l="1"/>
  <c r="E18" s="1"/>
  <c r="E4"/>
  <c r="D28" i="26"/>
  <c r="F28"/>
  <c r="C11"/>
  <c r="G19"/>
  <c r="E27"/>
  <c r="E28" s="1"/>
  <c r="H31"/>
  <c r="G31"/>
  <c r="D10"/>
  <c r="I15"/>
  <c r="M15"/>
  <c r="Q15"/>
  <c r="I28"/>
  <c r="M28"/>
  <c r="Q28"/>
  <c r="F31"/>
  <c r="F41"/>
  <c r="N41"/>
  <c r="F27" i="4"/>
  <c r="D27"/>
  <c r="F53" l="1"/>
  <c r="C40" i="6" l="1"/>
  <c r="C23"/>
  <c r="C37"/>
  <c r="C7" l="1"/>
  <c r="C47"/>
  <c r="C45"/>
  <c r="C43"/>
  <c r="C33"/>
  <c r="C30"/>
  <c r="C27"/>
  <c r="C18"/>
  <c r="C15"/>
  <c r="C12"/>
  <c r="C10"/>
  <c r="C32" l="1"/>
  <c r="C5"/>
  <c r="D121" i="4"/>
  <c r="C4" i="6" l="1"/>
  <c r="D109" i="4"/>
  <c r="D104"/>
  <c r="D71"/>
  <c r="D80"/>
  <c r="D85"/>
  <c r="D89"/>
  <c r="D102"/>
  <c r="F21"/>
  <c r="D21"/>
  <c r="D19" s="1"/>
  <c r="E118" l="1"/>
  <c r="F71" l="1"/>
  <c r="F102"/>
  <c r="F12" l="1"/>
  <c r="D12"/>
  <c r="F48"/>
  <c r="F19" s="1"/>
  <c r="F18" s="1"/>
  <c r="D53"/>
  <c r="D48" s="1"/>
  <c r="D18" s="1"/>
  <c r="F118"/>
  <c r="D118"/>
  <c r="F109"/>
  <c r="F104"/>
  <c r="F100"/>
  <c r="F94"/>
  <c r="F89"/>
  <c r="F85"/>
  <c r="F80"/>
  <c r="F5"/>
  <c r="D5"/>
  <c r="E121"/>
  <c r="F121"/>
  <c r="F4" l="1"/>
  <c r="F66" s="1"/>
  <c r="D112"/>
  <c r="F112"/>
  <c r="D4"/>
  <c r="E112"/>
  <c r="E117"/>
  <c r="D117"/>
  <c r="F117"/>
  <c r="E66" l="1"/>
  <c r="D66"/>
</calcChain>
</file>

<file path=xl/sharedStrings.xml><?xml version="1.0" encoding="utf-8"?>
<sst xmlns="http://schemas.openxmlformats.org/spreadsheetml/2006/main" count="902" uniqueCount="601">
  <si>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</si>
  <si>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</si>
  <si>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</si>
  <si>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</si>
  <si>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</si>
  <si>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</si>
  <si>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</si>
  <si>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</si>
  <si>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</si>
  <si>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</si>
  <si>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</si>
  <si>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</si>
  <si>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</si>
  <si>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</si>
  <si>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</si>
  <si>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</si>
  <si>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</si>
  <si>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</si>
  <si>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</si>
  <si>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</si>
  <si>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</si>
  <si>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</si>
  <si>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</si>
  <si>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</si>
  <si>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</si>
  <si>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</si>
  <si>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</si>
  <si>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</si>
  <si>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</si>
  <si>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</si>
  <si>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</si>
  <si>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</si>
  <si>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</si>
  <si>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</si>
  <si>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</si>
  <si>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</si>
  <si>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</si>
  <si>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</si>
  <si>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</si>
  <si>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</si>
  <si>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</si>
  <si>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</si>
  <si>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</si>
  <si>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</si>
  <si>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</si>
  <si>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</si>
  <si>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</si>
  <si>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</si>
  <si>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</si>
  <si>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</si>
  <si>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</si>
  <si>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</si>
  <si>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</si>
  <si>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</si>
  <si>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</si>
  <si>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</si>
  <si>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</si>
  <si>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</si>
  <si>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</si>
  <si>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</si>
  <si>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</si>
  <si>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</si>
  <si>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</si>
  <si>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</si>
  <si>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</si>
  <si>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</si>
  <si>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</si>
  <si>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</si>
  <si>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</si>
  <si>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</si>
  <si>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</si>
  <si>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</si>
  <si>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</si>
  <si>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</si>
  <si>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</si>
  <si>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</si>
  <si>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</si>
  <si>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</si>
  <si>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</si>
  <si>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</si>
  <si>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</si>
  <si>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</si>
  <si>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</si>
  <si>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</si>
  <si>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</si>
  <si>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</si>
  <si>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</si>
  <si>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</si>
  <si>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</si>
  <si>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</si>
  <si>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</si>
  <si>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</si>
  <si>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</si>
  <si>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</si>
  <si>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</si>
  <si>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</si>
  <si>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</si>
  <si>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</si>
  <si>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</si>
  <si>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</si>
  <si>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</si>
  <si>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</si>
  <si>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</si>
  <si>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</si>
  <si>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</si>
  <si>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</si>
  <si>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</si>
  <si>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</si>
  <si>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</si>
  <si>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</si>
  <si>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</si>
  <si>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</si>
  <si>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</si>
  <si>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</si>
  <si>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</si>
  <si>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</si>
  <si>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</si>
  <si>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</si>
  <si>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</si>
  <si>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</si>
  <si>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</si>
  <si>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</si>
  <si>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</si>
  <si>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</si>
  <si>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</si>
  <si>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</si>
  <si>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</si>
  <si>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</si>
  <si>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</si>
  <si>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</si>
  <si>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</si>
  <si>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</si>
  <si>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</si>
  <si>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</si>
  <si>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</si>
  <si>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</si>
  <si>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</si>
  <si>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</si>
  <si>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</si>
  <si>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</si>
  <si>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</si>
  <si>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</si>
  <si>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</si>
  <si>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</si>
  <si>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</si>
  <si>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</si>
  <si>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</si>
  <si>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</si>
  <si>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</si>
  <si>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</si>
  <si>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</si>
  <si>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</si>
  <si>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</si>
  <si>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</si>
  <si>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</si>
  <si>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</si>
  <si>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</si>
  <si>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</si>
  <si>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</si>
  <si>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</si>
  <si>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</si>
  <si>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</si>
  <si>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</si>
  <si>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</si>
  <si>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</si>
  <si>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</si>
  <si>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</si>
  <si>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</si>
  <si>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</si>
  <si>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</si>
  <si>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</si>
  <si>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</si>
  <si>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</si>
  <si>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</si>
  <si>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</si>
  <si>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</si>
  <si>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</si>
  <si>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</si>
  <si>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</si>
  <si>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</si>
  <si>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</si>
  <si>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</si>
  <si>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</si>
  <si>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</si>
  <si>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</si>
  <si>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</si>
  <si>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</si>
  <si>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</si>
  <si>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</si>
  <si>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</si>
  <si>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</si>
  <si>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</si>
  <si>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</si>
  <si>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</si>
  <si>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</si>
  <si>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</si>
  <si>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</si>
  <si>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</si>
  <si>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</si>
  <si>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</si>
  <si>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</si>
  <si>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</si>
  <si>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</si>
  <si>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</si>
  <si>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</si>
  <si>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</si>
  <si>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</si>
  <si>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</si>
  <si>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</si>
  <si>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</si>
  <si>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>e-mail: fin@egvekinot.org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</si>
  <si>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</si>
  <si>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</si>
  <si>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</si>
  <si>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</si>
  <si>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</si>
  <si>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</si>
  <si>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</si>
  <si>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</si>
  <si>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</si>
  <si>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</si>
  <si>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</si>
  <si>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</si>
  <si>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</si>
  <si>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</si>
  <si>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</si>
  <si>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</si>
  <si>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2018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</si>
  <si>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</si>
  <si>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</si>
  <si>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</si>
  <si>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</si>
  <si>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</si>
  <si>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</si>
  <si>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</si>
  <si>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</si>
  <si>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</si>
  <si>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</si>
  <si>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</si>
  <si>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</si>
  <si>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</si>
  <si>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</si>
  <si>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</si>
  <si>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</si>
  <si>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</si>
  <si>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</si>
  <si>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</si>
  <si>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</si>
  <si>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</si>
  <si>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</si>
  <si>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</si>
  <si>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</si>
  <si>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</si>
  <si>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</si>
  <si>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</si>
  <si>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</si>
  <si>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</si>
  <si>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</si>
  <si>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</si>
  <si>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</si>
  <si>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</si>
  <si>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</si>
  <si>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</si>
  <si>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</si>
  <si>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</si>
  <si>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</si>
  <si>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</si>
  <si>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</si>
  <si>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</si>
  <si>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</si>
  <si>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</si>
  <si>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</si>
  <si>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</si>
  <si>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</si>
  <si>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</si>
  <si>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</si>
  <si>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</si>
  <si>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</si>
  <si>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</si>
  <si>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</si>
  <si>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</si>
  <si>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</si>
  <si>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</si>
  <si>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</si>
  <si>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</si>
  <si>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</si>
  <si>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</si>
  <si>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</si>
  <si>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</si>
  <si>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</si>
  <si>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</si>
  <si>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</si>
  <si>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</si>
  <si>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</si>
  <si>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</si>
  <si>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</si>
  <si>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</si>
  <si>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</si>
  <si>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</si>
  <si>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</si>
  <si>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</si>
  <si>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</si>
  <si>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</si>
  <si>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</si>
  <si>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</si>
  <si>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</si>
  <si>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</si>
  <si>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</si>
  <si>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</si>
  <si>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</si>
  <si>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</si>
  <si>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</si>
  <si>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</si>
  <si>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</si>
  <si>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</si>
  <si>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</si>
  <si>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</si>
  <si>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</si>
  <si>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</si>
  <si>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</si>
  <si>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</si>
  <si>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</si>
  <si>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</si>
  <si>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</si>
  <si>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</si>
  <si>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</si>
  <si>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</si>
  <si>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</si>
  <si>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</si>
  <si>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</si>
  <si>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</si>
  <si>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</si>
  <si>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</si>
  <si>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</si>
  <si>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</si>
  <si>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</si>
  <si>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</si>
  <si>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</si>
  <si>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</si>
  <si>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</si>
  <si>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</si>
  <si>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</si>
  <si>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</si>
  <si>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</si>
  <si>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</si>
  <si>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</si>
  <si>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</si>
  <si>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</si>
  <si>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</si>
  <si>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</si>
  <si>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</si>
  <si>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</si>
  <si>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</si>
  <si>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</si>
  <si>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</si>
  <si>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</si>
  <si>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</si>
  <si>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</si>
  <si>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</si>
  <si>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детской спортивной площадки</t>
  </si>
  <si>
    <t>Строительство административного здания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</si>
  <si>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</si>
  <si>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</si>
  <si>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</si>
  <si>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</si>
  <si>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r>
      <t>Установка емкости под холодную воду (1000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</si>
  <si>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</si>
  <si>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</si>
  <si>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</si>
  <si>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Капитальный ремонт административного здания</t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</si>
  <si>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</si>
  <si>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</si>
  <si>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</si>
  <si>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</si>
  <si>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</si>
  <si>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</si>
  <si>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</si>
  <si>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</si>
  <si>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</si>
  <si>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</si>
  <si>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</si>
  <si>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</si>
  <si>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</si>
  <si>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</si>
  <si>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</si>
  <si>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</si>
  <si>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</si>
  <si>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</si>
  <si>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</si>
  <si>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</si>
  <si>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</si>
  <si>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</si>
  <si>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</si>
  <si>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</si>
  <si>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</si>
  <si>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</si>
  <si>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</si>
  <si>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</si>
  <si>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</si>
  <si>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</si>
  <si>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</si>
  <si>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</si>
  <si>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</si>
  <si>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</si>
  <si>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</si>
  <si>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</si>
  <si>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</si>
  <si>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</si>
  <si>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</si>
  <si>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</si>
  <si>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</si>
  <si>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</si>
  <si>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</si>
  <si>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</si>
  <si>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</si>
  <si>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</si>
  <si>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</si>
  <si>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</si>
  <si>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</si>
  <si>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</si>
  <si>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</si>
  <si>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</si>
  <si>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</si>
  <si>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злравоохранения и социальных услуг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</si>
  <si>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</si>
  <si>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</si>
  <si>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</si>
  <si>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</si>
  <si>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</si>
  <si>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</si>
  <si>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</si>
  <si>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</si>
  <si>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</si>
  <si>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</si>
  <si>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</si>
  <si>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</si>
  <si>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</si>
  <si>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</si>
  <si>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</si>
  <si>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</si>
  <si>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</si>
  <si>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</si>
  <si>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</si>
  <si>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</si>
  <si>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</si>
  <si>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</si>
  <si>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 xml:space="preserve">Численность поголовья на 01.01.2018 </t>
  </si>
  <si>
    <t>Численность поголовья на 01.01.2020</t>
  </si>
  <si>
    <t>Благоустройство территории строительства памятника «Алсиб»</t>
  </si>
  <si>
    <t>Приобретение квартир</t>
  </si>
  <si>
    <t>Капитальный ремонт водовода</t>
  </si>
  <si>
    <t>Реконструкция здания  ДЭС</t>
  </si>
  <si>
    <t>Реконструкция  сетей холодного водоснабжения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</si>
  <si>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</si>
  <si>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</si>
  <si>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Фактическое исполнение за 2018 год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</si>
  <si>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</si>
  <si>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</si>
  <si>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</si>
  <si>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</si>
  <si>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</si>
  <si>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</si>
  <si>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</si>
  <si>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</si>
  <si>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</si>
  <si>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</si>
  <si>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</si>
  <si>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</si>
  <si>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</si>
  <si>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</si>
  <si>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</si>
  <si>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</si>
  <si>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</si>
  <si>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План на 2020 год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</si>
  <si>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</si>
  <si>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</si>
  <si>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</si>
  <si>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2020 год</t>
  </si>
  <si>
    <t>Основные показатели прогноза социально-экономического  развития  городского округа Эгвекинот на 2020 - 2022 годы</t>
  </si>
  <si>
    <t xml:space="preserve">2022 г. 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</si>
  <si>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</si>
  <si>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</si>
  <si>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</si>
  <si>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</si>
  <si>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</si>
  <si>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</si>
  <si>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</si>
  <si>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</si>
  <si>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</si>
  <si>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</si>
  <si>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</si>
  <si>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260</t>
  </si>
  <si>
    <t>270</t>
  </si>
  <si>
    <t>Производство яиц</t>
  </si>
  <si>
    <t>тыс.штук</t>
  </si>
  <si>
    <t xml:space="preserve">к основным показателям прогноза социально-экономического
 развития городского округа Эгвекинот на 2020-2022 годы </t>
  </si>
  <si>
    <t>Производство важнейших видов продукции в натуральном выражении по городскому округу Эгвекинот на 2020-2022 годы</t>
  </si>
  <si>
    <t>Факт за 2018 год</t>
  </si>
  <si>
    <t>Ожидаемое выполнение 2019г.</t>
  </si>
  <si>
    <t>2022 г.</t>
  </si>
  <si>
    <t>тыс. штук</t>
  </si>
  <si>
    <t>7.</t>
  </si>
  <si>
    <t>Объемы производства хлеба и хлебобулочных изделий на 2020 год по городскому округу Эгвекинот</t>
  </si>
  <si>
    <t>Фактически за 2018 год</t>
  </si>
  <si>
    <t>Ожидаемое выполнение за 2019 год</t>
  </si>
  <si>
    <t>Объемы производства цельномолочной продукции
 на 2020 год по городскому округу Эгвекинот</t>
  </si>
  <si>
    <t>Наименование предприятия</t>
  </si>
  <si>
    <t>ПЛАН по поголовью оленей на 2020 год</t>
  </si>
  <si>
    <t>ФАКТ за 2018 год</t>
  </si>
  <si>
    <t>Ожидаемый за 2019 год</t>
  </si>
  <si>
    <t xml:space="preserve">Численность поголовья на 01.01.2019 </t>
  </si>
  <si>
    <t>Численность поголовья на 01.01.2021</t>
  </si>
  <si>
    <t xml:space="preserve">к основным показателям прогноза социально-экономического развития городского округа Эгвекинот на 2020-2022 годы </t>
  </si>
  <si>
    <t>строительства, реконструкции  и  капитального  ремонта</t>
  </si>
  <si>
    <t>по городскому округу Эгвекинот на 2020 - 2022 г.г.</t>
  </si>
  <si>
    <t>Населенный пункт</t>
  </si>
  <si>
    <t>п.Эгвекинот</t>
  </si>
  <si>
    <t>Реконструкция жилого дома №9 по ул. Комсомольская под социальное жилье</t>
  </si>
  <si>
    <t>ПСД*</t>
  </si>
  <si>
    <t>СМР*</t>
  </si>
  <si>
    <t>Ленина 22А, Рынтыргина 9, Первопроходцев 1</t>
  </si>
  <si>
    <t>Ленина 21/1, Набережная 3, Прокунина 12</t>
  </si>
  <si>
    <t>Набережная 1, Ленина 2,20, Рынтыргина 15</t>
  </si>
  <si>
    <t>ТК27-ТК-26-ТК-25А-ТК24</t>
  </si>
  <si>
    <t xml:space="preserve"> ТК19-ТК80-ТК81-Комсомольская, 3</t>
  </si>
  <si>
    <t>ТК51-ТК52-ТК53</t>
  </si>
  <si>
    <t>Устройство ветилируемых  утепленных  фасадов из алюкобонда кассетным способом жилых домов</t>
  </si>
  <si>
    <t xml:space="preserve">Ленина 4, часть жилого дома №5 по ул. Набережная (торцовая часть), </t>
  </si>
  <si>
    <t>Ленина 22, часть жилого дома №20 по ул.Советская (торцовая часть)</t>
  </si>
  <si>
    <t>Прокунина 12, 12/1</t>
  </si>
  <si>
    <t>Капитальный ремонт автодорог и дворовых территорий (бетонирование)</t>
  </si>
  <si>
    <t>Ленина 20,22,22А, Гагарина</t>
  </si>
  <si>
    <t xml:space="preserve">Советскаяд.20- дорога к ул. Портовой </t>
  </si>
  <si>
    <t>Рынтыргина 1,3,5,6,7,9,11,13,16</t>
  </si>
  <si>
    <t xml:space="preserve">Капитальный ремонт выгребных ям </t>
  </si>
  <si>
    <t>ул. Рынтыргина д.№ 13,11,9,7,5,3,1</t>
  </si>
  <si>
    <t>ул. Набережная 1.3.5.1/1; ул.Прокунина д.1,3,5,5а,7,9</t>
  </si>
  <si>
    <t>ул. Советская д.1,3,20; ул. Ленина 21/1,21,20,22</t>
  </si>
  <si>
    <t xml:space="preserve">Полная замена системы отопления, ХГВС и канализации в МКД </t>
  </si>
  <si>
    <t xml:space="preserve">дом №8 по ул. Советская, дом №1/1 по ул. Набережная, дом №3 по ул Прокунина, </t>
  </si>
  <si>
    <t xml:space="preserve">дом №17 по ул. Ленина, </t>
  </si>
  <si>
    <t>КЛ 6 ТП 10-ТП12</t>
  </si>
  <si>
    <t>КЛ 6 ТП 10-ТП3</t>
  </si>
  <si>
    <t>КЛ ПС 35/6- ТП 12</t>
  </si>
  <si>
    <t>Реконструкция сетей уличного освещения по ул. Ленина, ул. Рынтыргина, ул. Прокунина</t>
  </si>
  <si>
    <t>ПСД* и СМР*</t>
  </si>
  <si>
    <t>Строительство памятника вертолету МИ4</t>
  </si>
  <si>
    <t>Ремонт фасадов ж/д по улице Гагарина</t>
  </si>
  <si>
    <t>дом № 6,7,9</t>
  </si>
  <si>
    <t>дом № 8,10,11</t>
  </si>
  <si>
    <t>дом № 14</t>
  </si>
  <si>
    <t>Реконструкция здания по адресу  ул. Попова дом№7  под общежитие</t>
  </si>
  <si>
    <t>сдача объекта</t>
  </si>
  <si>
    <t>Строительство горки и сцены в п. Эгвекинот</t>
  </si>
  <si>
    <t>с. Амгуэма</t>
  </si>
  <si>
    <t>ТК3-ТК 8</t>
  </si>
  <si>
    <t>ТК8-ТК9</t>
  </si>
  <si>
    <t>ТК15-ТК18</t>
  </si>
  <si>
    <t>Северная 26,24</t>
  </si>
  <si>
    <t>с. Конергино</t>
  </si>
  <si>
    <t>ТК7-ТК11</t>
  </si>
  <si>
    <t>ТК 1-ТК5</t>
  </si>
  <si>
    <t>ТК19-ТК19/4</t>
  </si>
  <si>
    <t>Строительство жилого дома</t>
  </si>
  <si>
    <t>ПСД* на 8-12 квартирный жилой дом</t>
  </si>
  <si>
    <t>с. Рыркайпий</t>
  </si>
  <si>
    <t>Ремонт водовода 2,3 км двухтрубный</t>
  </si>
  <si>
    <t>Ремонт квартир для переселения с аварийного дома по ул. Мира дом №18</t>
  </si>
  <si>
    <t xml:space="preserve">ул. Полярная дом №3 кв.1,10,13;  ул. Строительная 10 кв 4; ул. Транспортная 22 кв.11; </t>
  </si>
  <si>
    <t>Ограждение свалки</t>
  </si>
  <si>
    <t>Строительство гаража на 2 автомобиля для нужд Администрации ГО Эгвекинот</t>
  </si>
  <si>
    <t xml:space="preserve">Снос аварийных строений и очистка территории </t>
  </si>
  <si>
    <t>5 строений</t>
  </si>
  <si>
    <t>10 строений</t>
  </si>
  <si>
    <t>Реконструкция, ремонт сетей электроснабжения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</si>
  <si>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</si>
  <si>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</si>
  <si>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</si>
  <si>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</si>
  <si>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>с.Ванкарем</t>
  </si>
  <si>
    <t xml:space="preserve">Строительство школы </t>
  </si>
  <si>
    <t>Монтаж детской  площадки</t>
  </si>
  <si>
    <t xml:space="preserve">Капитальный ремонт жилых домов </t>
  </si>
  <si>
    <t>ремонт 6 одноквартирных домов</t>
  </si>
  <si>
    <t>Строительство бани</t>
  </si>
  <si>
    <t>Строительство магазина-пенкарни</t>
  </si>
  <si>
    <t>Строительство одноквартирных  домов</t>
  </si>
  <si>
    <t>с.Нутэпэльмен</t>
  </si>
  <si>
    <t>Строительство здания центра досуга и народного творчества с Нутэпэльмен</t>
  </si>
  <si>
    <t>Капитальный ремонт жилых домов</t>
  </si>
  <si>
    <t>с. Уэлькаль</t>
  </si>
  <si>
    <t xml:space="preserve">ТК-6 -ТК6/4  </t>
  </si>
  <si>
    <t>ТК-6/4 -ТК-6/5</t>
  </si>
  <si>
    <t>ТК-6 - до ул. Центральная, д.3</t>
  </si>
  <si>
    <t>строительство</t>
  </si>
  <si>
    <t xml:space="preserve">Строительство жилья </t>
  </si>
  <si>
    <t>Строительно-монтажные работы</t>
  </si>
  <si>
    <t>Проектно сметная документация</t>
  </si>
  <si>
    <t>План на 2019 год (по состоянию на 23 декабря 2019 года)</t>
  </si>
  <si>
    <t>с 9.00 до 18.45 (с 13.00 до 14.30 обеденный перерыв)</t>
  </si>
  <si>
    <t>с 9.00 до 17.30 (с 13.00 до 14.30 обеденный перерыв)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</si>
</sst>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5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4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10">
    <xf numFmtId="0" fontId="0" fillId="0" borderId="0" xfId="0"/>
    <xf numFmtId="0" fontId="18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8" fillId="0" borderId="0" xfId="87" applyNumberFormat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5" fillId="0" borderId="0" xfId="0" applyNumberFormat="1" applyFont="1"/>
    <xf numFmtId="0" fontId="9" fillId="0" borderId="0" xfId="90" applyFont="1" applyAlignment="1">
      <alignment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6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6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0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2" xfId="89" applyFont="1" applyFill="1" applyBorder="1" applyAlignment="1">
      <alignment horizontal="center" wrapText="1"/>
    </xf>
    <xf numFmtId="0" fontId="6" fillId="0" borderId="13" xfId="89" applyFont="1" applyFill="1" applyBorder="1" applyAlignment="1">
      <alignment horizontal="center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38" fillId="0" borderId="2" xfId="89" applyFont="1" applyFill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6" fillId="0" borderId="2" xfId="89" applyFont="1" applyFill="1" applyBorder="1" applyAlignment="1">
      <alignment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0" xfId="89" applyFont="1" applyAlignment="1">
      <alignment vertical="center"/>
    </xf>
    <xf numFmtId="0" fontId="36" fillId="0" borderId="2" xfId="89" applyFont="1" applyBorder="1" applyAlignment="1">
      <alignment vertical="center" wrapText="1"/>
    </xf>
    <xf numFmtId="0" fontId="36" fillId="0" borderId="2" xfId="89" applyFont="1" applyFill="1" applyBorder="1" applyAlignment="1">
      <alignment vertical="center" wrapText="1"/>
    </xf>
    <xf numFmtId="0" fontId="42" fillId="0" borderId="2" xfId="89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8" fillId="0" borderId="0" xfId="87" applyBorder="1"/>
    <xf numFmtId="165" fontId="1" fillId="0" borderId="0" xfId="98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0" fontId="37" fillId="0" borderId="2" xfId="0" applyFont="1" applyFill="1" applyBorder="1" applyAlignment="1">
      <alignment wrapText="1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8" fillId="0" borderId="2" xfId="87" applyFill="1" applyBorder="1"/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7" fontId="48" fillId="0" borderId="4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169" fontId="50" fillId="0" borderId="4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9" fontId="48" fillId="0" borderId="4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5" fontId="50" fillId="0" borderId="4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5" fontId="47" fillId="0" borderId="4" xfId="91" applyNumberFormat="1" applyFont="1" applyFill="1" applyBorder="1" applyProtection="1">
      <protection locked="0"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50" fillId="0" borderId="4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4" fontId="48" fillId="0" borderId="2" xfId="91" applyNumberFormat="1" applyFont="1" applyFill="1" applyBorder="1" applyAlignment="1" applyProtection="1">
      <alignment vertical="center"/>
      <protection hidden="1"/>
    </xf>
    <xf numFmtId="4" fontId="48" fillId="0" borderId="4" xfId="91" applyNumberFormat="1" applyFont="1" applyFill="1" applyBorder="1" applyAlignment="1" applyProtection="1">
      <alignment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7" fillId="0" borderId="4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2" fontId="48" fillId="0" borderId="4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9" fontId="47" fillId="0" borderId="2" xfId="91" applyNumberFormat="1" applyFont="1" applyFill="1" applyBorder="1" applyAlignment="1" applyProtection="1">
      <alignment vertical="center"/>
      <protection locked="0" hidden="1"/>
    </xf>
    <xf numFmtId="2" fontId="47" fillId="0" borderId="4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0" fontId="47" fillId="0" borderId="4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169" fontId="47" fillId="0" borderId="4" xfId="91" applyNumberFormat="1" applyFont="1" applyFill="1" applyBorder="1" applyAlignment="1" applyProtection="1">
      <alignment horizontal="right"/>
      <protection locked="0"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0" fontId="47" fillId="0" borderId="4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4" xfId="91" applyFont="1" applyFill="1" applyBorder="1" applyAlignment="1" applyProtection="1">
      <protection locked="0" hidden="1"/>
    </xf>
    <xf numFmtId="165" fontId="47" fillId="0" borderId="2" xfId="91" applyNumberFormat="1" applyFont="1" applyFill="1" applyBorder="1" applyAlignment="1" applyProtection="1">
      <protection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167" fontId="47" fillId="0" borderId="4" xfId="91" applyNumberFormat="1" applyFont="1" applyFill="1" applyBorder="1" applyProtection="1">
      <protection locked="0"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4" fontId="47" fillId="0" borderId="4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4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3" fontId="47" fillId="0" borderId="4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71" fontId="48" fillId="0" borderId="4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4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169" fontId="47" fillId="0" borderId="4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7" fillId="0" borderId="4" xfId="91" applyNumberFormat="1" applyFont="1" applyFill="1" applyBorder="1" applyAlignment="1" applyProtection="1">
      <alignment horizontal="right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1" fontId="37" fillId="0" borderId="4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4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4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4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168" fontId="47" fillId="0" borderId="4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4" xfId="91" applyFont="1" applyFill="1" applyBorder="1" applyAlignment="1" applyProtection="1">
      <alignment horizontal="right"/>
      <protection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0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0" fontId="36" fillId="0" borderId="2" xfId="89" applyFont="1" applyFill="1" applyBorder="1"/>
    <xf numFmtId="165" fontId="1" fillId="0" borderId="2" xfId="88" applyNumberFormat="1" applyFont="1" applyBorder="1" applyAlignment="1">
      <alignment horizontal="right" wrapText="1"/>
    </xf>
    <xf numFmtId="165" fontId="1" fillId="0" borderId="2" xfId="98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165" fontId="36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36" fillId="0" borderId="2" xfId="89" applyFont="1" applyBorder="1" applyAlignment="1">
      <alignment horizontal="center" vertical="center" wrapText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2" xfId="89" applyFont="1" applyBorder="1" applyAlignment="1">
      <alignment horizontal="center" vertical="center" wrapText="1"/>
    </xf>
    <xf numFmtId="0" fontId="5" fillId="0" borderId="2" xfId="88" applyFont="1" applyFill="1" applyBorder="1" applyAlignment="1">
      <alignment vertical="top" wrapText="1"/>
    </xf>
    <xf numFmtId="0" fontId="34" fillId="0" borderId="0" xfId="0" applyFont="1" applyAlignment="1">
      <alignment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0" fontId="10" fillId="0" borderId="0" xfId="91" applyFont="1" applyFill="1" applyBorder="1" applyProtection="1">
      <protection hidden="1"/>
    </xf>
    <xf numFmtId="169" fontId="50" fillId="0" borderId="4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hidden="1"/>
    </xf>
    <xf numFmtId="2" fontId="47" fillId="0" borderId="4" xfId="91" applyNumberFormat="1" applyFont="1" applyFill="1" applyBorder="1" applyAlignment="1" applyProtection="1">
      <alignment vertical="center"/>
      <protection hidden="1"/>
    </xf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165" fontId="47" fillId="0" borderId="4" xfId="91" applyNumberFormat="1" applyFont="1" applyFill="1" applyBorder="1" applyAlignment="1" applyProtection="1">
      <alignment vertical="center"/>
      <protection locked="0" hidden="1"/>
    </xf>
    <xf numFmtId="165" fontId="47" fillId="0" borderId="2" xfId="91" applyNumberFormat="1" applyFont="1" applyFill="1" applyBorder="1" applyAlignment="1">
      <alignment vertical="center"/>
    </xf>
    <xf numFmtId="165" fontId="47" fillId="0" borderId="4" xfId="91" applyNumberFormat="1" applyFont="1" applyFill="1" applyBorder="1" applyAlignment="1">
      <alignment vertical="center"/>
    </xf>
    <xf numFmtId="0" fontId="50" fillId="0" borderId="4" xfId="91" applyFont="1" applyFill="1" applyBorder="1" applyProtection="1"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locked="0" hidden="1"/>
    </xf>
    <xf numFmtId="4" fontId="50" fillId="0" borderId="4" xfId="91" applyNumberFormat="1" applyFont="1" applyFill="1" applyBorder="1" applyProtection="1">
      <protection locked="0" hidden="1"/>
    </xf>
    <xf numFmtId="173" fontId="47" fillId="0" borderId="2" xfId="91" applyNumberFormat="1" applyFont="1" applyFill="1" applyBorder="1" applyAlignment="1" applyProtection="1">
      <alignment horizontal="right"/>
      <protection locked="0" hidden="1"/>
    </xf>
    <xf numFmtId="173" fontId="47" fillId="0" borderId="4" xfId="91" applyNumberFormat="1" applyFont="1" applyFill="1" applyBorder="1" applyAlignment="1" applyProtection="1">
      <alignment horizontal="right"/>
      <protection locked="0" hidden="1"/>
    </xf>
    <xf numFmtId="0" fontId="47" fillId="0" borderId="38" xfId="91" applyFont="1" applyFill="1" applyBorder="1" applyAlignment="1" applyProtection="1">
      <alignment horizontal="right"/>
      <protection hidden="1"/>
    </xf>
    <xf numFmtId="0" fontId="47" fillId="0" borderId="41" xfId="91" applyFont="1" applyFill="1" applyBorder="1" applyAlignment="1" applyProtection="1">
      <alignment horizontal="right"/>
      <protection hidden="1"/>
    </xf>
    <xf numFmtId="169" fontId="47" fillId="0" borderId="7" xfId="91" applyNumberFormat="1" applyFont="1" applyFill="1" applyBorder="1" applyAlignment="1" applyProtection="1">
      <alignment horizontal="right"/>
      <protection locked="0" hidden="1"/>
    </xf>
    <xf numFmtId="0" fontId="6" fillId="0" borderId="15" xfId="89" applyFont="1" applyFill="1" applyBorder="1" applyAlignment="1">
      <alignment horizontal="center" wrapText="1"/>
    </xf>
    <xf numFmtId="0" fontId="6" fillId="0" borderId="42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vertical="top" wrapText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0" fontId="6" fillId="0" borderId="43" xfId="89" applyFont="1" applyFill="1" applyBorder="1" applyAlignment="1">
      <alignment horizontal="center" wrapText="1"/>
    </xf>
    <xf numFmtId="4" fontId="6" fillId="0" borderId="43" xfId="89" applyNumberFormat="1" applyFont="1" applyFill="1" applyBorder="1" applyAlignment="1">
      <alignment horizontal="center" wrapText="1"/>
    </xf>
    <xf numFmtId="4" fontId="6" fillId="0" borderId="1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0" fontId="36" fillId="0" borderId="2" xfId="89" applyFont="1" applyFill="1" applyBorder="1" applyAlignment="1">
      <alignment horizontal="center" vertical="center" wrapText="1"/>
    </xf>
    <xf numFmtId="3" fontId="42" fillId="0" borderId="2" xfId="89" applyNumberFormat="1" applyFont="1" applyFill="1" applyBorder="1" applyAlignment="1">
      <alignment horizontal="center" vertical="center" wrapText="1"/>
    </xf>
    <xf numFmtId="165" fontId="42" fillId="0" borderId="2" xfId="89" applyNumberFormat="1" applyFont="1" applyFill="1" applyBorder="1" applyAlignment="1">
      <alignment horizontal="center" vertical="center" wrapText="1"/>
    </xf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18" fillId="0" borderId="2" xfId="89" applyFont="1" applyBorder="1" applyAlignment="1">
      <alignment horizontal="center" vertical="center"/>
    </xf>
    <xf numFmtId="0" fontId="18" fillId="0" borderId="2" xfId="89" applyFont="1" applyBorder="1" applyAlignment="1">
      <alignment horizontal="center" wrapText="1"/>
    </xf>
    <xf numFmtId="0" fontId="18" fillId="0" borderId="2" xfId="89" applyFont="1" applyBorder="1" applyAlignment="1">
      <alignment horizontal="center"/>
    </xf>
    <xf numFmtId="0" fontId="18" fillId="0" borderId="2" xfId="89" applyFont="1" applyBorder="1" applyAlignment="1">
      <alignment horizontal="center" vertical="center" wrapText="1"/>
    </xf>
    <xf numFmtId="0" fontId="33" fillId="0" borderId="2" xfId="89" applyBorder="1" applyAlignment="1">
      <alignment horizontal="center" wrapText="1"/>
    </xf>
    <xf numFmtId="0" fontId="33" fillId="0" borderId="2" xfId="89" applyBorder="1" applyAlignment="1">
      <alignment horizontal="center" vertical="center"/>
    </xf>
    <xf numFmtId="0" fontId="18" fillId="0" borderId="2" xfId="89" applyFont="1" applyBorder="1" applyAlignment="1">
      <alignment horizontal="center" vertical="top" wrapText="1"/>
    </xf>
    <xf numFmtId="0" fontId="42" fillId="7" borderId="2" xfId="89" applyFont="1" applyFill="1" applyBorder="1" applyAlignment="1">
      <alignment horizontal="center" wrapText="1"/>
    </xf>
    <xf numFmtId="9" fontId="18" fillId="0" borderId="2" xfId="89" applyNumberFormat="1" applyFont="1" applyBorder="1" applyAlignment="1">
      <alignment horizontal="center" vertical="center"/>
    </xf>
    <xf numFmtId="0" fontId="33" fillId="0" borderId="2" xfId="89" applyBorder="1" applyAlignment="1">
      <alignment horizontal="center"/>
    </xf>
    <xf numFmtId="0" fontId="42" fillId="0" borderId="0" xfId="89" applyFont="1" applyFill="1" applyBorder="1" applyAlignment="1">
      <alignment horizontal="left" vertical="center" wrapText="1"/>
    </xf>
    <xf numFmtId="0" fontId="6" fillId="0" borderId="2" xfId="87" applyFont="1" applyFill="1" applyBorder="1"/>
    <xf numFmtId="0" fontId="5" fillId="0" borderId="2" xfId="88" applyFont="1" applyFill="1" applyBorder="1" applyAlignment="1">
      <alignment horizontal="center" vertical="center" wrapText="1"/>
    </xf>
    <xf numFmtId="165" fontId="5" fillId="0" borderId="2" xfId="88" applyNumberFormat="1" applyFont="1" applyFill="1" applyBorder="1" applyAlignment="1">
      <alignment horizontal="right" vertical="top" wrapText="1"/>
    </xf>
    <xf numFmtId="165" fontId="6" fillId="0" borderId="2" xfId="88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/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46" fillId="0" borderId="4" xfId="9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5" fillId="0" borderId="2" xfId="89" applyFont="1" applyFill="1" applyBorder="1" applyAlignment="1">
      <alignment vertical="top" wrapText="1"/>
    </xf>
    <xf numFmtId="0" fontId="34" fillId="0" borderId="0" xfId="89" applyFont="1" applyAlignment="1">
      <alignment horizontal="center" vertical="center"/>
    </xf>
    <xf numFmtId="0" fontId="43" fillId="0" borderId="0" xfId="89" applyFont="1" applyAlignment="1">
      <alignment horizontal="right" vertical="center"/>
    </xf>
    <xf numFmtId="0" fontId="36" fillId="0" borderId="0" xfId="89" applyFont="1" applyAlignment="1">
      <alignment horizontal="right" vertical="center" wrapText="1"/>
    </xf>
    <xf numFmtId="0" fontId="36" fillId="0" borderId="0" xfId="89" applyFont="1" applyAlignment="1">
      <alignment horizontal="center" vertical="center"/>
    </xf>
    <xf numFmtId="0" fontId="42" fillId="0" borderId="2" xfId="89" applyFont="1" applyBorder="1" applyAlignment="1">
      <alignment horizontal="center" vertical="center" wrapText="1"/>
    </xf>
  </cellXfs>
  <cellStyles count="104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D20" sqref="D20"/>
    </sheetView>
  </sheetViews>
  <sheetFormatPr defaultRowHeight="1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>
      <c r="A1" s="345" t="s">
        <v>209</v>
      </c>
      <c r="B1" s="345"/>
      <c r="C1" s="345"/>
      <c r="D1" s="345"/>
    </row>
    <row r="2" spans="1:4" s="28" customFormat="1" ht="18.75">
      <c r="A2" s="347" t="s">
        <v>208</v>
      </c>
      <c r="B2" s="347"/>
      <c r="C2" s="347"/>
      <c r="D2" s="347"/>
    </row>
    <row r="3" spans="1:4" s="28" customFormat="1" ht="18.75">
      <c r="A3" s="42"/>
      <c r="B3" s="42"/>
      <c r="C3" s="42"/>
      <c r="D3" s="42"/>
    </row>
    <row r="4" spans="1:4" s="28" customFormat="1" ht="18.75">
      <c r="A4" s="348" t="s">
        <v>202</v>
      </c>
      <c r="B4" s="348"/>
      <c r="C4" s="348"/>
      <c r="D4" s="348"/>
    </row>
    <row r="5" spans="1:4" s="28" customFormat="1" ht="18.75">
      <c r="A5" s="349" t="s">
        <v>192</v>
      </c>
      <c r="B5" s="349"/>
      <c r="C5" s="349" t="s">
        <v>599</v>
      </c>
      <c r="D5" s="349"/>
    </row>
    <row r="6" spans="1:4" s="28" customFormat="1" ht="18.75">
      <c r="A6" s="349" t="s">
        <v>203</v>
      </c>
      <c r="B6" s="349"/>
      <c r="C6" s="349" t="s">
        <v>599</v>
      </c>
      <c r="D6" s="349"/>
    </row>
    <row r="7" spans="1:4" s="28" customFormat="1" ht="18.75">
      <c r="A7" s="349" t="s">
        <v>204</v>
      </c>
      <c r="B7" s="349"/>
      <c r="C7" s="349" t="s">
        <v>599</v>
      </c>
      <c r="D7" s="349"/>
    </row>
    <row r="8" spans="1:4" s="28" customFormat="1" ht="18.75">
      <c r="A8" s="349" t="s">
        <v>205</v>
      </c>
      <c r="B8" s="349"/>
      <c r="C8" s="349" t="s">
        <v>599</v>
      </c>
      <c r="D8" s="349"/>
    </row>
    <row r="9" spans="1:4" s="28" customFormat="1" ht="18.75">
      <c r="A9" s="349" t="s">
        <v>193</v>
      </c>
      <c r="B9" s="349"/>
      <c r="C9" s="349" t="s">
        <v>600</v>
      </c>
      <c r="D9" s="349"/>
    </row>
    <row r="10" spans="1:4" s="28" customFormat="1" ht="18.75">
      <c r="A10" s="349" t="s">
        <v>206</v>
      </c>
      <c r="B10" s="349"/>
      <c r="C10" s="349" t="s">
        <v>194</v>
      </c>
      <c r="D10" s="349"/>
    </row>
    <row r="11" spans="1:4" s="28" customFormat="1" ht="18.75">
      <c r="A11" s="349" t="s">
        <v>207</v>
      </c>
      <c r="B11" s="349"/>
      <c r="C11" s="349" t="s">
        <v>194</v>
      </c>
      <c r="D11" s="349"/>
    </row>
    <row r="12" spans="1:4" s="28" customFormat="1" ht="18.75">
      <c r="A12" s="347"/>
      <c r="B12" s="347"/>
      <c r="C12" s="41"/>
      <c r="D12" s="43"/>
    </row>
    <row r="13" spans="1:4" s="28" customFormat="1" ht="18.75">
      <c r="A13" s="346" t="s">
        <v>197</v>
      </c>
      <c r="B13" s="346"/>
      <c r="C13" s="346"/>
      <c r="D13" s="346"/>
    </row>
    <row r="14" spans="1:4" s="28" customFormat="1" ht="37.5">
      <c r="A14" s="40" t="s">
        <v>196</v>
      </c>
      <c r="B14" s="40" t="s">
        <v>198</v>
      </c>
      <c r="C14" s="44" t="s">
        <v>211</v>
      </c>
      <c r="D14" s="44" t="s">
        <v>195</v>
      </c>
    </row>
    <row r="15" spans="1:4" ht="18.75">
      <c r="A15" s="40" t="s">
        <v>212</v>
      </c>
      <c r="B15" s="40" t="s">
        <v>199</v>
      </c>
      <c r="C15" s="351" t="s">
        <v>210</v>
      </c>
      <c r="D15" s="352"/>
    </row>
    <row r="16" spans="1:4" s="28" customFormat="1"/>
    <row r="17" spans="1:4" ht="18.75">
      <c r="A17" s="346" t="s">
        <v>200</v>
      </c>
      <c r="B17" s="346"/>
      <c r="C17" s="346"/>
      <c r="D17" s="346"/>
    </row>
    <row r="18" spans="1:4" ht="18.75">
      <c r="A18" s="349" t="s">
        <v>204</v>
      </c>
      <c r="B18" s="349"/>
      <c r="C18" s="350" t="s">
        <v>201</v>
      </c>
      <c r="D18" s="350"/>
    </row>
    <row r="19" spans="1:4" ht="18.75">
      <c r="C19" s="39" t="s">
        <v>344</v>
      </c>
      <c r="D19" s="39"/>
    </row>
    <row r="20" spans="1:4" ht="18.75">
      <c r="C20" s="39"/>
      <c r="D20" s="39"/>
    </row>
    <row r="22" spans="1:4" ht="18.75">
      <c r="A22" s="347"/>
      <c r="B22" s="347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opLeftCell="C97" zoomScale="85" zoomScaleNormal="85" workbookViewId="0">
      <selection activeCell="C97" sqref="C1:C1048576"/>
    </sheetView>
  </sheetViews>
  <sheetFormatPr defaultRowHeight="15.7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5.5703125" style="292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10" ht="18.75" customHeight="1">
      <c r="C1" s="353" t="s">
        <v>164</v>
      </c>
      <c r="D1" s="353"/>
      <c r="E1" s="353"/>
      <c r="F1" s="353"/>
    </row>
    <row r="2" spans="1:10">
      <c r="B2" s="2"/>
      <c r="C2" s="99"/>
      <c r="D2" s="99"/>
      <c r="E2" s="290"/>
      <c r="F2" s="101" t="s">
        <v>0</v>
      </c>
    </row>
    <row r="3" spans="1:10" ht="78.75">
      <c r="B3" s="3" t="s">
        <v>1</v>
      </c>
      <c r="C3" s="102" t="s">
        <v>2</v>
      </c>
      <c r="D3" s="102" t="s">
        <v>455</v>
      </c>
      <c r="E3" s="341" t="s">
        <v>598</v>
      </c>
      <c r="F3" s="103" t="s">
        <v>473</v>
      </c>
    </row>
    <row r="4" spans="1:10">
      <c r="B4" s="4" t="s">
        <v>3</v>
      </c>
      <c r="C4" s="104" t="s">
        <v>4</v>
      </c>
      <c r="D4" s="105">
        <f>SUM(D5,D12)</f>
        <v>148948.30000000002</v>
      </c>
      <c r="E4" s="342">
        <f>SUM(E5,E12)</f>
        <v>156069.39999999997</v>
      </c>
      <c r="F4" s="105">
        <f>SUM(F5,F12)</f>
        <v>156627.19999999998</v>
      </c>
      <c r="J4" s="13"/>
    </row>
    <row r="5" spans="1:10">
      <c r="B5" s="4"/>
      <c r="C5" s="104" t="s">
        <v>5</v>
      </c>
      <c r="D5" s="105">
        <f>SUM(D6,D7,D8,D9,D10,D11)</f>
        <v>131696.80000000002</v>
      </c>
      <c r="E5" s="342">
        <f>SUM(E6,E7,E8,E9,E10,E11)</f>
        <v>145786.59999999998</v>
      </c>
      <c r="F5" s="105">
        <f>SUM(F6,F7,F8,F9,F10,F11)</f>
        <v>149446.29999999999</v>
      </c>
      <c r="J5" s="13"/>
    </row>
    <row r="6" spans="1:10">
      <c r="B6" s="27" t="s">
        <v>6</v>
      </c>
      <c r="C6" s="106" t="s">
        <v>165</v>
      </c>
      <c r="D6" s="265">
        <v>113350.3</v>
      </c>
      <c r="E6" s="343">
        <v>123917.3</v>
      </c>
      <c r="F6" s="107">
        <v>125110.7</v>
      </c>
    </row>
    <row r="7" spans="1:10" ht="31.5">
      <c r="B7" s="6" t="s">
        <v>7</v>
      </c>
      <c r="C7" s="106" t="s">
        <v>166</v>
      </c>
      <c r="D7" s="266">
        <v>2941.9</v>
      </c>
      <c r="E7" s="113">
        <v>3309.3</v>
      </c>
      <c r="F7" s="108">
        <v>3993.2</v>
      </c>
    </row>
    <row r="8" spans="1:10">
      <c r="B8" s="6" t="s">
        <v>8</v>
      </c>
      <c r="C8" s="106" t="s">
        <v>167</v>
      </c>
      <c r="D8" s="266">
        <v>13769.3</v>
      </c>
      <c r="E8" s="113">
        <v>16317.3</v>
      </c>
      <c r="F8" s="108">
        <v>18290.2</v>
      </c>
    </row>
    <row r="9" spans="1:10">
      <c r="B9" s="9" t="s">
        <v>9</v>
      </c>
      <c r="C9" s="106" t="s">
        <v>168</v>
      </c>
      <c r="D9" s="266">
        <v>1291.4000000000001</v>
      </c>
      <c r="E9" s="113">
        <v>1693.4</v>
      </c>
      <c r="F9" s="108">
        <v>1716.9</v>
      </c>
    </row>
    <row r="10" spans="1:10">
      <c r="B10" s="6" t="s">
        <v>10</v>
      </c>
      <c r="C10" s="106" t="s">
        <v>169</v>
      </c>
      <c r="D10" s="266">
        <v>318.2</v>
      </c>
      <c r="E10" s="113">
        <v>549.29999999999995</v>
      </c>
      <c r="F10" s="108">
        <v>335.3</v>
      </c>
    </row>
    <row r="11" spans="1:10" ht="31.5">
      <c r="B11" s="6" t="s">
        <v>157</v>
      </c>
      <c r="C11" s="106" t="s">
        <v>170</v>
      </c>
      <c r="D11" s="266">
        <v>25.7</v>
      </c>
      <c r="E11" s="113">
        <v>0</v>
      </c>
      <c r="F11" s="108">
        <v>0</v>
      </c>
    </row>
    <row r="12" spans="1:10" s="11" customFormat="1">
      <c r="B12" s="5"/>
      <c r="C12" s="12" t="s">
        <v>11</v>
      </c>
      <c r="D12" s="109">
        <f>SUM(D13,D14,D15,D16,D17)</f>
        <v>17251.5</v>
      </c>
      <c r="E12" s="111">
        <f>SUM(E13,E14,E15,E16,E17)</f>
        <v>10282.799999999999</v>
      </c>
      <c r="F12" s="109">
        <f>SUM(F13,F14,F15,F16,F17)</f>
        <v>7180.9</v>
      </c>
      <c r="G12" s="10"/>
      <c r="H12" s="10"/>
      <c r="I12" s="1"/>
    </row>
    <row r="13" spans="1:10" ht="31.5">
      <c r="B13" s="6" t="s">
        <v>12</v>
      </c>
      <c r="C13" s="106" t="s">
        <v>171</v>
      </c>
      <c r="D13" s="266">
        <v>11793.1</v>
      </c>
      <c r="E13" s="113">
        <v>12700</v>
      </c>
      <c r="F13" s="108">
        <v>6500</v>
      </c>
    </row>
    <row r="14" spans="1:10">
      <c r="B14" s="6" t="s">
        <v>13</v>
      </c>
      <c r="C14" s="106" t="s">
        <v>172</v>
      </c>
      <c r="D14" s="266">
        <v>1399.8</v>
      </c>
      <c r="E14" s="113">
        <v>-6130.5</v>
      </c>
      <c r="F14" s="108">
        <v>300</v>
      </c>
    </row>
    <row r="15" spans="1:10" customFormat="1" ht="16.5" customHeight="1">
      <c r="A15" s="28"/>
      <c r="B15" s="8" t="s">
        <v>14</v>
      </c>
      <c r="C15" s="110" t="s">
        <v>173</v>
      </c>
      <c r="D15" s="266">
        <v>436</v>
      </c>
      <c r="E15" s="113">
        <v>298.3</v>
      </c>
      <c r="F15" s="108">
        <v>0</v>
      </c>
      <c r="I15" s="1"/>
    </row>
    <row r="16" spans="1:10" customFormat="1">
      <c r="A16" s="28"/>
      <c r="B16" s="8" t="s">
        <v>156</v>
      </c>
      <c r="C16" s="110" t="s">
        <v>174</v>
      </c>
      <c r="D16" s="266">
        <v>2561.5</v>
      </c>
      <c r="E16" s="113">
        <v>2111.6999999999998</v>
      </c>
      <c r="F16" s="108">
        <v>0</v>
      </c>
      <c r="I16" s="1"/>
    </row>
    <row r="17" spans="2:6">
      <c r="B17" s="6" t="s">
        <v>15</v>
      </c>
      <c r="C17" s="106" t="s">
        <v>175</v>
      </c>
      <c r="D17" s="266">
        <v>1061.0999999999999</v>
      </c>
      <c r="E17" s="113">
        <v>1303.3</v>
      </c>
      <c r="F17" s="108">
        <v>380.9</v>
      </c>
    </row>
    <row r="18" spans="2:6">
      <c r="B18" s="5" t="s">
        <v>16</v>
      </c>
      <c r="C18" s="12" t="s">
        <v>17</v>
      </c>
      <c r="D18" s="111">
        <f>SUM(D19,D63:D65)</f>
        <v>1135109.1000000001</v>
      </c>
      <c r="E18" s="111">
        <f>SUM(E19,E63:E65)</f>
        <v>1238503.4999999998</v>
      </c>
      <c r="F18" s="111">
        <f>SUM(F19,F63:F65)</f>
        <v>1261864.6000000001</v>
      </c>
    </row>
    <row r="19" spans="2:6" ht="31.5">
      <c r="B19" s="5" t="s">
        <v>18</v>
      </c>
      <c r="C19" s="112" t="s">
        <v>19</v>
      </c>
      <c r="D19" s="111">
        <f>SUM(D20,D21,D48,D62)</f>
        <v>1135879.5</v>
      </c>
      <c r="E19" s="111">
        <f>SUM(E20,E21,E48,E62)</f>
        <v>1235870.5</v>
      </c>
      <c r="F19" s="111">
        <f>SUM(F20,F21,F48,F62)</f>
        <v>1261864.6000000001</v>
      </c>
    </row>
    <row r="20" spans="2:6" ht="31.5">
      <c r="B20" s="5" t="s">
        <v>20</v>
      </c>
      <c r="C20" s="12" t="s">
        <v>21</v>
      </c>
      <c r="D20" s="109">
        <v>470560.6</v>
      </c>
      <c r="E20" s="111">
        <v>626726.9</v>
      </c>
      <c r="F20" s="109">
        <v>572437.1</v>
      </c>
    </row>
    <row r="21" spans="2:6" ht="31.5">
      <c r="B21" s="5" t="s">
        <v>22</v>
      </c>
      <c r="C21" s="12" t="s">
        <v>23</v>
      </c>
      <c r="D21" s="111">
        <f>SUM(D22:D27)</f>
        <v>198619.1</v>
      </c>
      <c r="E21" s="111">
        <f t="shared" ref="E21:F21" si="0">SUM(E22:E27)</f>
        <v>91101.799999999988</v>
      </c>
      <c r="F21" s="111">
        <f t="shared" si="0"/>
        <v>140937.70000000001</v>
      </c>
    </row>
    <row r="22" spans="2:6" ht="31.5">
      <c r="B22" s="5"/>
      <c r="C22" s="7" t="s">
        <v>345</v>
      </c>
      <c r="D22" s="113">
        <v>117699.6</v>
      </c>
      <c r="E22" s="113">
        <v>0</v>
      </c>
      <c r="F22" s="113">
        <v>0</v>
      </c>
    </row>
    <row r="23" spans="2:6" ht="47.25">
      <c r="B23" s="5"/>
      <c r="C23" s="280" t="s">
        <v>467</v>
      </c>
      <c r="D23" s="113">
        <v>0</v>
      </c>
      <c r="E23" s="113">
        <v>6482.5</v>
      </c>
      <c r="F23" s="113">
        <v>3260.9</v>
      </c>
    </row>
    <row r="24" spans="2:6" ht="47.25">
      <c r="B24" s="5"/>
      <c r="C24" s="280" t="s">
        <v>462</v>
      </c>
      <c r="D24" s="113">
        <v>0</v>
      </c>
      <c r="E24" s="113">
        <v>604.79999999999995</v>
      </c>
      <c r="F24" s="113">
        <v>0</v>
      </c>
    </row>
    <row r="25" spans="2:6" ht="47.25">
      <c r="B25" s="5"/>
      <c r="C25" s="280" t="s">
        <v>468</v>
      </c>
      <c r="D25" s="113">
        <v>0</v>
      </c>
      <c r="E25" s="113">
        <v>344.6</v>
      </c>
      <c r="F25" s="113">
        <v>18.899999999999999</v>
      </c>
    </row>
    <row r="26" spans="2:6" ht="48.75" customHeight="1">
      <c r="B26" s="5"/>
      <c r="C26" s="7" t="s">
        <v>457</v>
      </c>
      <c r="D26" s="113">
        <v>0</v>
      </c>
      <c r="E26" s="113">
        <v>1409</v>
      </c>
      <c r="F26" s="113">
        <v>0</v>
      </c>
    </row>
    <row r="27" spans="2:6">
      <c r="B27" s="6" t="s">
        <v>24</v>
      </c>
      <c r="C27" s="7" t="s">
        <v>25</v>
      </c>
      <c r="D27" s="113">
        <f>SUM(D29:D47)</f>
        <v>80919.5</v>
      </c>
      <c r="E27" s="113">
        <f t="shared" ref="E27:F27" si="1">SUM(E29:E47)</f>
        <v>82260.899999999994</v>
      </c>
      <c r="F27" s="113">
        <f t="shared" si="1"/>
        <v>137657.90000000002</v>
      </c>
    </row>
    <row r="28" spans="2:6">
      <c r="C28" s="7" t="s">
        <v>26</v>
      </c>
      <c r="D28" s="108"/>
      <c r="E28" s="113"/>
      <c r="F28" s="108"/>
    </row>
    <row r="29" spans="2:6" ht="31.5">
      <c r="B29" s="6"/>
      <c r="C29" s="7" t="s">
        <v>346</v>
      </c>
      <c r="D29" s="108">
        <v>37779.599999999999</v>
      </c>
      <c r="E29" s="113">
        <v>39453.1</v>
      </c>
      <c r="F29" s="113">
        <v>57675.8</v>
      </c>
    </row>
    <row r="30" spans="2:6" ht="32.25" customHeight="1">
      <c r="B30" s="7"/>
      <c r="C30" s="88" t="s">
        <v>28</v>
      </c>
      <c r="D30" s="108">
        <v>4552.5</v>
      </c>
      <c r="E30" s="113">
        <v>5536.3</v>
      </c>
      <c r="F30" s="108">
        <v>5906.8</v>
      </c>
    </row>
    <row r="31" spans="2:6" ht="32.25" customHeight="1">
      <c r="B31" s="7"/>
      <c r="C31" s="88" t="s">
        <v>456</v>
      </c>
      <c r="D31" s="108">
        <v>11543.6</v>
      </c>
      <c r="E31" s="113">
        <v>11534.1</v>
      </c>
      <c r="F31" s="108">
        <v>10000</v>
      </c>
    </row>
    <row r="32" spans="2:6">
      <c r="B32" s="7"/>
      <c r="C32" s="88" t="s">
        <v>29</v>
      </c>
      <c r="D32" s="108">
        <v>135</v>
      </c>
      <c r="E32" s="113">
        <v>158.4</v>
      </c>
      <c r="F32" s="108">
        <v>0</v>
      </c>
    </row>
    <row r="33" spans="2:8" ht="31.5">
      <c r="B33" s="7"/>
      <c r="C33" s="88" t="s">
        <v>458</v>
      </c>
      <c r="D33" s="108">
        <v>0</v>
      </c>
      <c r="E33" s="113">
        <v>2114.8000000000002</v>
      </c>
      <c r="F33" s="108">
        <v>0</v>
      </c>
    </row>
    <row r="34" spans="2:8" ht="31.5">
      <c r="B34" s="7"/>
      <c r="C34" s="88" t="s">
        <v>459</v>
      </c>
      <c r="D34" s="108">
        <v>0</v>
      </c>
      <c r="E34" s="113">
        <v>314.10000000000002</v>
      </c>
      <c r="F34" s="108">
        <v>0</v>
      </c>
    </row>
    <row r="35" spans="2:8">
      <c r="B35" s="7"/>
      <c r="C35" s="88" t="s">
        <v>460</v>
      </c>
      <c r="D35" s="108">
        <v>0</v>
      </c>
      <c r="E35" s="113">
        <v>1000</v>
      </c>
      <c r="F35" s="108">
        <v>0</v>
      </c>
    </row>
    <row r="36" spans="2:8" ht="31.5">
      <c r="B36" s="7"/>
      <c r="C36" s="7" t="s">
        <v>27</v>
      </c>
      <c r="D36" s="108">
        <v>3753.8</v>
      </c>
      <c r="E36" s="113">
        <v>4504.5</v>
      </c>
      <c r="F36" s="108">
        <v>5197.5</v>
      </c>
    </row>
    <row r="37" spans="2:8" ht="47.25">
      <c r="B37" s="7"/>
      <c r="C37" s="7" t="s">
        <v>395</v>
      </c>
      <c r="D37" s="108">
        <v>18155</v>
      </c>
      <c r="E37" s="113">
        <v>0</v>
      </c>
      <c r="F37" s="108">
        <v>0</v>
      </c>
    </row>
    <row r="38" spans="2:8" ht="31.5">
      <c r="B38" s="7"/>
      <c r="C38" s="7" t="s">
        <v>396</v>
      </c>
      <c r="D38" s="113">
        <v>5000</v>
      </c>
      <c r="E38" s="113">
        <v>0</v>
      </c>
      <c r="F38" s="108">
        <v>0</v>
      </c>
    </row>
    <row r="39" spans="2:8" ht="31.5">
      <c r="B39" s="7"/>
      <c r="C39" s="7" t="s">
        <v>397</v>
      </c>
      <c r="D39" s="113">
        <v>0</v>
      </c>
      <c r="E39" s="113">
        <v>0</v>
      </c>
      <c r="F39" s="108">
        <v>0</v>
      </c>
    </row>
    <row r="40" spans="2:8" ht="31.5">
      <c r="B40" s="7"/>
      <c r="C40" s="280" t="s">
        <v>463</v>
      </c>
      <c r="D40" s="108">
        <v>0</v>
      </c>
      <c r="E40" s="113">
        <v>8500</v>
      </c>
      <c r="F40" s="113">
        <v>26200</v>
      </c>
    </row>
    <row r="41" spans="2:8" ht="31.5">
      <c r="B41" s="7"/>
      <c r="C41" s="280" t="s">
        <v>464</v>
      </c>
      <c r="D41" s="108">
        <v>0</v>
      </c>
      <c r="E41" s="113">
        <v>361</v>
      </c>
      <c r="F41" s="113">
        <v>0</v>
      </c>
    </row>
    <row r="42" spans="2:8" ht="31.5">
      <c r="B42" s="7"/>
      <c r="C42" s="280" t="s">
        <v>465</v>
      </c>
      <c r="D42" s="108">
        <v>0</v>
      </c>
      <c r="E42" s="113">
        <v>0</v>
      </c>
      <c r="F42" s="113">
        <v>23377.8</v>
      </c>
    </row>
    <row r="43" spans="2:8" ht="31.5">
      <c r="B43" s="7"/>
      <c r="C43" s="280" t="s">
        <v>466</v>
      </c>
      <c r="D43" s="113">
        <v>0</v>
      </c>
      <c r="E43" s="113">
        <v>1962.4</v>
      </c>
      <c r="F43" s="113">
        <v>0</v>
      </c>
    </row>
    <row r="44" spans="2:8" ht="31.5">
      <c r="B44" s="7"/>
      <c r="C44" s="280" t="s">
        <v>469</v>
      </c>
      <c r="D44" s="113">
        <v>0</v>
      </c>
      <c r="E44" s="113">
        <v>6822.2</v>
      </c>
      <c r="F44" s="113">
        <v>0</v>
      </c>
    </row>
    <row r="45" spans="2:8" ht="31.5">
      <c r="B45" s="7"/>
      <c r="C45" s="280" t="s">
        <v>474</v>
      </c>
      <c r="D45" s="113">
        <v>0</v>
      </c>
      <c r="E45" s="113">
        <v>0</v>
      </c>
      <c r="F45" s="113">
        <v>300</v>
      </c>
    </row>
    <row r="46" spans="2:8" ht="31.5">
      <c r="B46" s="7"/>
      <c r="C46" s="280" t="s">
        <v>475</v>
      </c>
      <c r="D46" s="113">
        <v>0</v>
      </c>
      <c r="E46" s="113">
        <v>0</v>
      </c>
      <c r="F46" s="113">
        <v>1000</v>
      </c>
    </row>
    <row r="47" spans="2:8" ht="31.5">
      <c r="B47" s="7"/>
      <c r="C47" s="280" t="s">
        <v>476</v>
      </c>
      <c r="D47" s="113">
        <v>0</v>
      </c>
      <c r="E47" s="113">
        <v>0</v>
      </c>
      <c r="F47" s="113">
        <v>8000</v>
      </c>
    </row>
    <row r="48" spans="2:8" ht="31.5">
      <c r="B48" s="12" t="s">
        <v>30</v>
      </c>
      <c r="C48" s="12" t="s">
        <v>31</v>
      </c>
      <c r="D48" s="109">
        <f>SUM(D49:D52,D53)</f>
        <v>466699.8</v>
      </c>
      <c r="E48" s="111">
        <f>SUM(E49:E52,E53)</f>
        <v>515041.8</v>
      </c>
      <c r="F48" s="109">
        <f>SUM(F49:F52,F53)</f>
        <v>548489.80000000005</v>
      </c>
      <c r="H48" s="13"/>
    </row>
    <row r="49" spans="2:9" ht="78.75">
      <c r="B49" s="7" t="s">
        <v>32</v>
      </c>
      <c r="C49" s="7" t="s">
        <v>347</v>
      </c>
      <c r="D49" s="108">
        <v>1150</v>
      </c>
      <c r="E49" s="340">
        <v>889.9</v>
      </c>
      <c r="F49" s="115">
        <v>1149.5999999999999</v>
      </c>
    </row>
    <row r="50" spans="2:9" ht="63">
      <c r="B50" s="7"/>
      <c r="C50" s="89" t="s">
        <v>348</v>
      </c>
      <c r="D50" s="108">
        <v>4063.8</v>
      </c>
      <c r="E50" s="113">
        <v>6469.1</v>
      </c>
      <c r="F50" s="108">
        <v>1663.2</v>
      </c>
    </row>
    <row r="51" spans="2:9" ht="63">
      <c r="B51" s="7"/>
      <c r="C51" s="7" t="s">
        <v>378</v>
      </c>
      <c r="D51" s="108">
        <v>45.4</v>
      </c>
      <c r="E51" s="113">
        <v>9.9</v>
      </c>
      <c r="F51" s="108">
        <v>9.9</v>
      </c>
    </row>
    <row r="52" spans="2:9" ht="31.5">
      <c r="B52" s="7" t="s">
        <v>33</v>
      </c>
      <c r="C52" s="7" t="s">
        <v>377</v>
      </c>
      <c r="D52" s="108">
        <v>1054.4000000000001</v>
      </c>
      <c r="E52" s="113">
        <v>2572.8000000000002</v>
      </c>
      <c r="F52" s="108">
        <v>2184.8000000000002</v>
      </c>
    </row>
    <row r="53" spans="2:9">
      <c r="B53" s="7" t="s">
        <v>35</v>
      </c>
      <c r="C53" s="7" t="s">
        <v>34</v>
      </c>
      <c r="D53" s="108">
        <f>SUM(D55:D61)</f>
        <v>460386.2</v>
      </c>
      <c r="E53" s="113">
        <f t="shared" ref="E53:F53" si="2">SUM(E55:E61)</f>
        <v>505100.1</v>
      </c>
      <c r="F53" s="108">
        <f t="shared" si="2"/>
        <v>543482.30000000005</v>
      </c>
    </row>
    <row r="54" spans="2:9">
      <c r="C54" s="7" t="s">
        <v>26</v>
      </c>
      <c r="D54" s="108"/>
      <c r="E54" s="113"/>
      <c r="F54" s="108"/>
      <c r="H54" s="91"/>
      <c r="I54" s="91"/>
    </row>
    <row r="55" spans="2:9">
      <c r="B55" s="7"/>
      <c r="C55" s="7" t="s">
        <v>36</v>
      </c>
      <c r="D55" s="108">
        <v>215.4</v>
      </c>
      <c r="E55" s="113">
        <v>252.8</v>
      </c>
      <c r="F55" s="108">
        <v>273.7</v>
      </c>
      <c r="H55" s="92"/>
      <c r="I55" s="91"/>
    </row>
    <row r="56" spans="2:9">
      <c r="B56" s="7"/>
      <c r="C56" s="7" t="s">
        <v>38</v>
      </c>
      <c r="D56" s="108">
        <v>113.8</v>
      </c>
      <c r="E56" s="113">
        <v>122.4</v>
      </c>
      <c r="F56" s="108">
        <v>140</v>
      </c>
      <c r="H56" s="92"/>
      <c r="I56" s="91"/>
    </row>
    <row r="57" spans="2:9" ht="18.75" customHeight="1">
      <c r="B57" s="7"/>
      <c r="C57" s="7" t="s">
        <v>37</v>
      </c>
      <c r="D57" s="108">
        <v>1575.8</v>
      </c>
      <c r="E57" s="113">
        <v>1818.4</v>
      </c>
      <c r="F57" s="108">
        <v>1797.7</v>
      </c>
      <c r="H57" s="92"/>
      <c r="I57" s="91"/>
    </row>
    <row r="58" spans="2:9" ht="47.25">
      <c r="B58" s="7"/>
      <c r="C58" s="7" t="s">
        <v>349</v>
      </c>
      <c r="D58" s="108">
        <v>5314.2</v>
      </c>
      <c r="E58" s="113">
        <v>5339.7</v>
      </c>
      <c r="F58" s="108">
        <v>5270.4</v>
      </c>
      <c r="H58" s="92"/>
      <c r="I58" s="91"/>
    </row>
    <row r="59" spans="2:9" ht="31.5">
      <c r="B59" s="7"/>
      <c r="C59" s="7" t="s">
        <v>350</v>
      </c>
      <c r="D59" s="108">
        <v>1294.3</v>
      </c>
      <c r="E59" s="113">
        <v>1293.7</v>
      </c>
      <c r="F59" s="108">
        <v>1293.0999999999999</v>
      </c>
      <c r="H59" s="92"/>
      <c r="I59" s="91"/>
    </row>
    <row r="60" spans="2:9" ht="31.5">
      <c r="B60" s="7"/>
      <c r="C60" s="7" t="s">
        <v>351</v>
      </c>
      <c r="D60" s="108">
        <v>0</v>
      </c>
      <c r="E60" s="113">
        <v>0</v>
      </c>
      <c r="F60" s="108">
        <v>1290.5</v>
      </c>
      <c r="H60" s="92"/>
      <c r="I60" s="91"/>
    </row>
    <row r="61" spans="2:9" ht="126">
      <c r="B61" s="7"/>
      <c r="C61" s="7" t="s">
        <v>39</v>
      </c>
      <c r="D61" s="108">
        <v>451872.7</v>
      </c>
      <c r="E61" s="113">
        <v>496273.1</v>
      </c>
      <c r="F61" s="108">
        <v>533416.9</v>
      </c>
      <c r="H61" s="92"/>
      <c r="I61" s="91"/>
    </row>
    <row r="62" spans="2:9">
      <c r="B62" s="7"/>
      <c r="C62" s="288" t="s">
        <v>470</v>
      </c>
      <c r="D62" s="109">
        <v>0</v>
      </c>
      <c r="E62" s="111">
        <v>3000</v>
      </c>
      <c r="F62" s="109">
        <v>0</v>
      </c>
      <c r="H62" s="92"/>
      <c r="I62" s="91"/>
    </row>
    <row r="63" spans="2:9" ht="19.5" customHeight="1">
      <c r="B63" s="7"/>
      <c r="C63" s="12" t="s">
        <v>461</v>
      </c>
      <c r="D63" s="109"/>
      <c r="E63" s="111">
        <v>3.4</v>
      </c>
      <c r="F63" s="109">
        <v>0</v>
      </c>
      <c r="H63" s="92"/>
      <c r="I63" s="91"/>
    </row>
    <row r="64" spans="2:9" ht="47.25">
      <c r="B64" s="7"/>
      <c r="C64" s="289" t="s">
        <v>471</v>
      </c>
      <c r="D64" s="109">
        <v>0</v>
      </c>
      <c r="E64" s="111">
        <v>3346.7</v>
      </c>
      <c r="F64" s="109">
        <v>0</v>
      </c>
      <c r="H64" s="92"/>
      <c r="I64" s="91"/>
    </row>
    <row r="65" spans="1:9" customFormat="1" ht="31.5">
      <c r="A65" s="28"/>
      <c r="B65" s="14" t="s">
        <v>40</v>
      </c>
      <c r="C65" s="90" t="s">
        <v>176</v>
      </c>
      <c r="D65" s="109">
        <v>-770.4</v>
      </c>
      <c r="E65" s="111">
        <v>-717.1</v>
      </c>
      <c r="F65" s="109">
        <v>0</v>
      </c>
      <c r="I65" s="1"/>
    </row>
    <row r="66" spans="1:9">
      <c r="B66" s="12" t="s">
        <v>41</v>
      </c>
      <c r="C66" s="12"/>
      <c r="D66" s="111">
        <f>SUM(D4,D18)</f>
        <v>1284057.4000000001</v>
      </c>
      <c r="E66" s="111">
        <f>SUM(E4,E18)</f>
        <v>1394572.8999999997</v>
      </c>
      <c r="F66" s="111">
        <f>SUM(F4,F18)</f>
        <v>1418491.8</v>
      </c>
    </row>
    <row r="67" spans="1:9">
      <c r="C67" s="100"/>
      <c r="D67" s="100"/>
      <c r="E67" s="290"/>
      <c r="F67" s="100"/>
    </row>
    <row r="68" spans="1:9" ht="39" customHeight="1">
      <c r="A68" s="28"/>
      <c r="B68" s="34"/>
      <c r="C68" s="354" t="s">
        <v>163</v>
      </c>
      <c r="D68" s="354"/>
      <c r="E68" s="354"/>
      <c r="F68" s="354"/>
    </row>
    <row r="69" spans="1:9">
      <c r="A69" s="28"/>
      <c r="B69" s="28"/>
      <c r="C69" s="116"/>
      <c r="D69" s="116"/>
      <c r="E69" s="291"/>
      <c r="F69" s="117" t="s">
        <v>42</v>
      </c>
    </row>
    <row r="70" spans="1:9" ht="78.75">
      <c r="A70" s="28"/>
      <c r="B70" s="28"/>
      <c r="C70" s="36" t="s">
        <v>162</v>
      </c>
      <c r="D70" s="102" t="s">
        <v>455</v>
      </c>
      <c r="E70" s="341" t="s">
        <v>598</v>
      </c>
      <c r="F70" s="103" t="s">
        <v>473</v>
      </c>
    </row>
    <row r="71" spans="1:9">
      <c r="A71" s="33" t="s">
        <v>46</v>
      </c>
      <c r="B71" s="33" t="s">
        <v>47</v>
      </c>
      <c r="C71" s="19" t="s">
        <v>45</v>
      </c>
      <c r="D71" s="118">
        <f>SUM(D72:D79)</f>
        <v>154447.20000000001</v>
      </c>
      <c r="E71" s="118">
        <f>SUM(E72:E79)</f>
        <v>210676.30000000002</v>
      </c>
      <c r="F71" s="118">
        <f>SUM(F72:F79)</f>
        <v>244018.59999999998</v>
      </c>
    </row>
    <row r="72" spans="1:9" ht="31.5">
      <c r="A72" s="32" t="s">
        <v>46</v>
      </c>
      <c r="B72" s="32" t="s">
        <v>49</v>
      </c>
      <c r="C72" s="31" t="s">
        <v>48</v>
      </c>
      <c r="D72" s="119">
        <v>5131.4000000000005</v>
      </c>
      <c r="E72" s="119">
        <v>5577.5</v>
      </c>
      <c r="F72" s="119">
        <v>5060.8999999999996</v>
      </c>
    </row>
    <row r="73" spans="1:9" ht="47.25">
      <c r="A73" s="32" t="s">
        <v>46</v>
      </c>
      <c r="B73" s="32" t="s">
        <v>63</v>
      </c>
      <c r="C73" s="31" t="s">
        <v>114</v>
      </c>
      <c r="D73" s="119">
        <v>29.5</v>
      </c>
      <c r="E73" s="119">
        <v>0</v>
      </c>
      <c r="F73" s="119">
        <v>50</v>
      </c>
    </row>
    <row r="74" spans="1:9" ht="47.25">
      <c r="A74" s="32" t="s">
        <v>46</v>
      </c>
      <c r="B74" s="32" t="s">
        <v>53</v>
      </c>
      <c r="C74" s="31" t="s">
        <v>52</v>
      </c>
      <c r="D74" s="119">
        <v>95323.400000000009</v>
      </c>
      <c r="E74" s="119">
        <v>87164.3</v>
      </c>
      <c r="F74" s="119">
        <v>71732.5</v>
      </c>
    </row>
    <row r="75" spans="1:9">
      <c r="A75" s="32" t="s">
        <v>46</v>
      </c>
      <c r="B75" s="32" t="s">
        <v>56</v>
      </c>
      <c r="C75" s="30" t="s">
        <v>55</v>
      </c>
      <c r="D75" s="119">
        <v>45.4</v>
      </c>
      <c r="E75" s="119">
        <v>9.9</v>
      </c>
      <c r="F75" s="119">
        <v>9.9</v>
      </c>
    </row>
    <row r="76" spans="1:9" ht="31.5">
      <c r="A76" s="32" t="s">
        <v>46</v>
      </c>
      <c r="B76" s="32" t="s">
        <v>90</v>
      </c>
      <c r="C76" s="31" t="s">
        <v>89</v>
      </c>
      <c r="D76" s="119">
        <v>34085.4</v>
      </c>
      <c r="E76" s="119">
        <v>40910</v>
      </c>
      <c r="F76" s="119">
        <v>36097.800000000003</v>
      </c>
    </row>
    <row r="77" spans="1:9">
      <c r="A77" s="32" t="s">
        <v>46</v>
      </c>
      <c r="B77" s="32" t="s">
        <v>99</v>
      </c>
      <c r="C77" s="31" t="s">
        <v>117</v>
      </c>
      <c r="D77" s="119">
        <v>5095.6000000000004</v>
      </c>
      <c r="E77" s="119">
        <v>3657.9</v>
      </c>
      <c r="F77" s="119">
        <v>3775</v>
      </c>
    </row>
    <row r="78" spans="1:9">
      <c r="A78" s="32" t="s">
        <v>46</v>
      </c>
      <c r="B78" s="32" t="s">
        <v>92</v>
      </c>
      <c r="C78" s="31" t="s">
        <v>91</v>
      </c>
      <c r="D78" s="119">
        <v>0</v>
      </c>
      <c r="E78" s="119">
        <v>3.2</v>
      </c>
      <c r="F78" s="119">
        <v>10938.1</v>
      </c>
    </row>
    <row r="79" spans="1:9">
      <c r="A79" s="32" t="s">
        <v>46</v>
      </c>
      <c r="B79" s="32" t="s">
        <v>60</v>
      </c>
      <c r="C79" s="31" t="s">
        <v>59</v>
      </c>
      <c r="D79" s="119">
        <v>14736.5</v>
      </c>
      <c r="E79" s="119">
        <v>73353.5</v>
      </c>
      <c r="F79" s="119">
        <v>116354.4</v>
      </c>
    </row>
    <row r="80" spans="1:9">
      <c r="A80" s="33" t="s">
        <v>63</v>
      </c>
      <c r="B80" s="33" t="s">
        <v>47</v>
      </c>
      <c r="C80" s="93" t="s">
        <v>65</v>
      </c>
      <c r="D80" s="118">
        <f>SUM(D81:D84)</f>
        <v>8793.5</v>
      </c>
      <c r="E80" s="118">
        <f>SUM(E81:E84)</f>
        <v>12407.099999999999</v>
      </c>
      <c r="F80" s="118">
        <f>SUM(F81:F84)</f>
        <v>11958.2</v>
      </c>
    </row>
    <row r="81" spans="1:6">
      <c r="A81" s="32" t="s">
        <v>63</v>
      </c>
      <c r="B81" s="32" t="s">
        <v>53</v>
      </c>
      <c r="C81" s="30" t="s">
        <v>66</v>
      </c>
      <c r="D81" s="119">
        <v>1950.4</v>
      </c>
      <c r="E81" s="119">
        <v>2625.9</v>
      </c>
      <c r="F81" s="119">
        <v>2184.8000000000002</v>
      </c>
    </row>
    <row r="82" spans="1:6" ht="31.5">
      <c r="A82" s="32" t="s">
        <v>63</v>
      </c>
      <c r="B82" s="32" t="s">
        <v>75</v>
      </c>
      <c r="C82" s="30" t="s">
        <v>159</v>
      </c>
      <c r="D82" s="119">
        <v>4743.5999999999995</v>
      </c>
      <c r="E82" s="119">
        <v>7726.9</v>
      </c>
      <c r="F82" s="119">
        <v>6993.4</v>
      </c>
    </row>
    <row r="83" spans="1:6">
      <c r="A83" s="32" t="s">
        <v>63</v>
      </c>
      <c r="B83" s="32" t="s">
        <v>68</v>
      </c>
      <c r="C83" s="30" t="s">
        <v>67</v>
      </c>
      <c r="D83" s="119">
        <v>2094.5</v>
      </c>
      <c r="E83" s="119">
        <v>1944.3</v>
      </c>
      <c r="F83" s="119">
        <v>1925</v>
      </c>
    </row>
    <row r="84" spans="1:6" ht="31.5">
      <c r="A84" s="32" t="s">
        <v>63</v>
      </c>
      <c r="B84" s="32" t="s">
        <v>158</v>
      </c>
      <c r="C84" s="30" t="s">
        <v>69</v>
      </c>
      <c r="D84" s="119">
        <v>5</v>
      </c>
      <c r="E84" s="119">
        <v>110</v>
      </c>
      <c r="F84" s="119">
        <v>855</v>
      </c>
    </row>
    <row r="85" spans="1:6">
      <c r="A85" s="33" t="s">
        <v>53</v>
      </c>
      <c r="B85" s="33" t="s">
        <v>47</v>
      </c>
      <c r="C85" s="19" t="s">
        <v>70</v>
      </c>
      <c r="D85" s="118">
        <f>SUM(D86:D88)</f>
        <v>85157.200000000012</v>
      </c>
      <c r="E85" s="118">
        <f>SUM(E86:E88)</f>
        <v>90700.2</v>
      </c>
      <c r="F85" s="118">
        <f>SUM(F86:F88)</f>
        <v>125962.1</v>
      </c>
    </row>
    <row r="86" spans="1:6">
      <c r="A86" s="32" t="s">
        <v>53</v>
      </c>
      <c r="B86" s="32" t="s">
        <v>72</v>
      </c>
      <c r="C86" s="30" t="s">
        <v>71</v>
      </c>
      <c r="D86" s="119">
        <v>10526.6</v>
      </c>
      <c r="E86" s="267">
        <v>13598.3</v>
      </c>
      <c r="F86" s="267">
        <v>24559.1</v>
      </c>
    </row>
    <row r="87" spans="1:6">
      <c r="A87" s="32" t="s">
        <v>53</v>
      </c>
      <c r="B87" s="32" t="s">
        <v>75</v>
      </c>
      <c r="C87" s="31" t="s">
        <v>74</v>
      </c>
      <c r="D87" s="119">
        <v>16060.2</v>
      </c>
      <c r="E87" s="267">
        <v>19281.3</v>
      </c>
      <c r="F87" s="267">
        <v>25524.9</v>
      </c>
    </row>
    <row r="88" spans="1:6">
      <c r="A88" s="32" t="s">
        <v>53</v>
      </c>
      <c r="B88" s="32" t="s">
        <v>78</v>
      </c>
      <c r="C88" s="30" t="s">
        <v>77</v>
      </c>
      <c r="D88" s="119">
        <v>58570.400000000001</v>
      </c>
      <c r="E88" s="267">
        <v>57820.6</v>
      </c>
      <c r="F88" s="267">
        <v>75878.100000000006</v>
      </c>
    </row>
    <row r="89" spans="1:6">
      <c r="A89" s="33" t="s">
        <v>56</v>
      </c>
      <c r="B89" s="33" t="s">
        <v>47</v>
      </c>
      <c r="C89" s="19" t="s">
        <v>80</v>
      </c>
      <c r="D89" s="118">
        <f>SUM(D90:D93)</f>
        <v>250380.7</v>
      </c>
      <c r="E89" s="118">
        <f>SUM(E90:E93)</f>
        <v>185436.79999999999</v>
      </c>
      <c r="F89" s="118">
        <f>SUM(F90:F93)</f>
        <v>125321.4</v>
      </c>
    </row>
    <row r="90" spans="1:6">
      <c r="A90" s="32" t="s">
        <v>56</v>
      </c>
      <c r="B90" s="32" t="s">
        <v>46</v>
      </c>
      <c r="C90" s="31" t="s">
        <v>81</v>
      </c>
      <c r="D90" s="119">
        <v>164353.20000000001</v>
      </c>
      <c r="E90" s="267">
        <v>31673.5</v>
      </c>
      <c r="F90" s="267">
        <v>25797.599999999999</v>
      </c>
    </row>
    <row r="91" spans="1:6">
      <c r="A91" s="32" t="s">
        <v>56</v>
      </c>
      <c r="B91" s="32" t="s">
        <v>49</v>
      </c>
      <c r="C91" s="31" t="s">
        <v>82</v>
      </c>
      <c r="D91" s="119">
        <v>58373</v>
      </c>
      <c r="E91" s="267">
        <v>81648.7</v>
      </c>
      <c r="F91" s="267">
        <v>82684.899999999994</v>
      </c>
    </row>
    <row r="92" spans="1:6">
      <c r="A92" s="32" t="s">
        <v>56</v>
      </c>
      <c r="B92" s="32" t="s">
        <v>63</v>
      </c>
      <c r="C92" s="31" t="s">
        <v>85</v>
      </c>
      <c r="D92" s="119">
        <v>23443.5</v>
      </c>
      <c r="E92" s="267">
        <v>66149.600000000006</v>
      </c>
      <c r="F92" s="267">
        <v>12472.5</v>
      </c>
    </row>
    <row r="93" spans="1:6">
      <c r="A93" s="32" t="s">
        <v>56</v>
      </c>
      <c r="B93" s="32" t="s">
        <v>56</v>
      </c>
      <c r="C93" s="31" t="s">
        <v>86</v>
      </c>
      <c r="D93" s="119">
        <v>4211</v>
      </c>
      <c r="E93" s="267">
        <v>5965</v>
      </c>
      <c r="F93" s="267">
        <v>4366.3999999999996</v>
      </c>
    </row>
    <row r="94" spans="1:6">
      <c r="A94" s="33" t="s">
        <v>99</v>
      </c>
      <c r="B94" s="33" t="s">
        <v>47</v>
      </c>
      <c r="C94" s="19" t="s">
        <v>98</v>
      </c>
      <c r="D94" s="118">
        <v>617358.6</v>
      </c>
      <c r="E94" s="118">
        <f>SUM(E95:E99)</f>
        <v>695754.5</v>
      </c>
      <c r="F94" s="118">
        <f>SUM(F95:F99)</f>
        <v>731914.29999999993</v>
      </c>
    </row>
    <row r="95" spans="1:6">
      <c r="A95" s="32" t="s">
        <v>99</v>
      </c>
      <c r="B95" s="32" t="s">
        <v>46</v>
      </c>
      <c r="C95" s="31" t="s">
        <v>100</v>
      </c>
      <c r="D95" s="119">
        <v>62838.5</v>
      </c>
      <c r="E95" s="267">
        <v>67093.7</v>
      </c>
      <c r="F95" s="267">
        <v>75912.3</v>
      </c>
    </row>
    <row r="96" spans="1:6">
      <c r="A96" s="32" t="s">
        <v>99</v>
      </c>
      <c r="B96" s="32" t="s">
        <v>49</v>
      </c>
      <c r="C96" s="31" t="s">
        <v>101</v>
      </c>
      <c r="D96" s="119">
        <v>453508.3</v>
      </c>
      <c r="E96" s="267">
        <v>509491.20000000001</v>
      </c>
      <c r="F96" s="267">
        <v>516144</v>
      </c>
    </row>
    <row r="97" spans="1:6">
      <c r="A97" s="32" t="s">
        <v>99</v>
      </c>
      <c r="B97" s="32" t="s">
        <v>63</v>
      </c>
      <c r="C97" s="31" t="s">
        <v>160</v>
      </c>
      <c r="D97" s="119">
        <v>85542.9</v>
      </c>
      <c r="E97" s="267">
        <v>87216.8</v>
      </c>
      <c r="F97" s="267">
        <v>91211.199999999997</v>
      </c>
    </row>
    <row r="98" spans="1:6">
      <c r="A98" s="32" t="s">
        <v>99</v>
      </c>
      <c r="B98" s="32" t="s">
        <v>99</v>
      </c>
      <c r="C98" s="31" t="s">
        <v>472</v>
      </c>
      <c r="D98" s="119">
        <v>9934.3000000000011</v>
      </c>
      <c r="E98" s="267">
        <v>15792.2</v>
      </c>
      <c r="F98" s="267">
        <v>16715.099999999999</v>
      </c>
    </row>
    <row r="99" spans="1:6">
      <c r="A99" s="32" t="s">
        <v>99</v>
      </c>
      <c r="B99" s="32" t="s">
        <v>75</v>
      </c>
      <c r="C99" s="31" t="s">
        <v>102</v>
      </c>
      <c r="D99" s="119">
        <v>5534.6</v>
      </c>
      <c r="E99" s="267">
        <v>16160.6</v>
      </c>
      <c r="F99" s="267">
        <v>31931.7</v>
      </c>
    </row>
    <row r="100" spans="1:6">
      <c r="A100" s="33" t="s">
        <v>72</v>
      </c>
      <c r="B100" s="33" t="s">
        <v>47</v>
      </c>
      <c r="C100" s="19" t="s">
        <v>103</v>
      </c>
      <c r="D100" s="118">
        <v>102219.1</v>
      </c>
      <c r="E100" s="118">
        <f>SUM(E101)</f>
        <v>115431.4</v>
      </c>
      <c r="F100" s="118">
        <f>SUM(F101)</f>
        <v>111199.9</v>
      </c>
    </row>
    <row r="101" spans="1:6">
      <c r="A101" s="32" t="s">
        <v>72</v>
      </c>
      <c r="B101" s="32" t="s">
        <v>46</v>
      </c>
      <c r="C101" s="31" t="s">
        <v>104</v>
      </c>
      <c r="D101" s="119">
        <v>102219.1</v>
      </c>
      <c r="E101" s="119">
        <v>115431.4</v>
      </c>
      <c r="F101" s="119">
        <v>111199.9</v>
      </c>
    </row>
    <row r="102" spans="1:6">
      <c r="A102" s="32"/>
      <c r="B102" s="32"/>
      <c r="C102" s="93" t="s">
        <v>379</v>
      </c>
      <c r="D102" s="118">
        <f>SUM(D103)</f>
        <v>0</v>
      </c>
      <c r="E102" s="118">
        <f>SUM(E103)</f>
        <v>0</v>
      </c>
      <c r="F102" s="118">
        <f>SUM(F103)</f>
        <v>1290.5</v>
      </c>
    </row>
    <row r="103" spans="1:6">
      <c r="A103" s="32"/>
      <c r="B103" s="32"/>
      <c r="C103" s="31" t="s">
        <v>380</v>
      </c>
      <c r="D103" s="119">
        <v>0</v>
      </c>
      <c r="E103" s="119">
        <v>0</v>
      </c>
      <c r="F103" s="119">
        <v>1290.5</v>
      </c>
    </row>
    <row r="104" spans="1:6">
      <c r="A104" s="33" t="s">
        <v>68</v>
      </c>
      <c r="B104" s="33" t="s">
        <v>47</v>
      </c>
      <c r="C104" s="24" t="s">
        <v>87</v>
      </c>
      <c r="D104" s="118">
        <f>SUM(D105:D108)</f>
        <v>60885.4</v>
      </c>
      <c r="E104" s="118">
        <f>SUM(E105:E108)</f>
        <v>58102</v>
      </c>
      <c r="F104" s="118">
        <f>SUM(F105:F108)</f>
        <v>27420.2</v>
      </c>
    </row>
    <row r="105" spans="1:6">
      <c r="A105" s="32" t="s">
        <v>68</v>
      </c>
      <c r="B105" s="32" t="s">
        <v>46</v>
      </c>
      <c r="C105" s="31" t="s">
        <v>96</v>
      </c>
      <c r="D105" s="269">
        <v>9827.6</v>
      </c>
      <c r="E105" s="267">
        <v>10200</v>
      </c>
      <c r="F105" s="267">
        <v>9957.2000000000007</v>
      </c>
    </row>
    <row r="106" spans="1:6">
      <c r="A106" s="32" t="s">
        <v>68</v>
      </c>
      <c r="B106" s="32" t="s">
        <v>63</v>
      </c>
      <c r="C106" s="20" t="s">
        <v>88</v>
      </c>
      <c r="D106" s="269">
        <v>2151.1</v>
      </c>
      <c r="E106" s="267">
        <v>2150</v>
      </c>
      <c r="F106" s="267">
        <v>0</v>
      </c>
    </row>
    <row r="107" spans="1:6">
      <c r="A107" s="32" t="s">
        <v>68</v>
      </c>
      <c r="B107" s="32" t="s">
        <v>53</v>
      </c>
      <c r="C107" s="30" t="s">
        <v>105</v>
      </c>
      <c r="D107" s="269">
        <v>4896.1000000000004</v>
      </c>
      <c r="E107" s="267">
        <v>7359</v>
      </c>
      <c r="F107" s="267">
        <v>2812.8</v>
      </c>
    </row>
    <row r="108" spans="1:6">
      <c r="A108" s="32" t="s">
        <v>68</v>
      </c>
      <c r="B108" s="32" t="s">
        <v>90</v>
      </c>
      <c r="C108" s="31" t="s">
        <v>106</v>
      </c>
      <c r="D108" s="269">
        <v>44010.6</v>
      </c>
      <c r="E108" s="268">
        <v>38393</v>
      </c>
      <c r="F108" s="268">
        <v>14650.2</v>
      </c>
    </row>
    <row r="109" spans="1:6">
      <c r="A109" s="33" t="s">
        <v>92</v>
      </c>
      <c r="B109" s="33" t="s">
        <v>47</v>
      </c>
      <c r="C109" s="19" t="s">
        <v>108</v>
      </c>
      <c r="D109" s="118">
        <f>SUM(D110:D111)</f>
        <v>24636</v>
      </c>
      <c r="E109" s="118">
        <f>SUM(E110:E111)</f>
        <v>30094.100000000002</v>
      </c>
      <c r="F109" s="118">
        <f>SUM(F110:F111)</f>
        <v>24406.6</v>
      </c>
    </row>
    <row r="110" spans="1:6">
      <c r="A110" s="32" t="s">
        <v>92</v>
      </c>
      <c r="B110" s="32" t="s">
        <v>46</v>
      </c>
      <c r="C110" s="31" t="s">
        <v>109</v>
      </c>
      <c r="D110" s="269">
        <v>21211.5</v>
      </c>
      <c r="E110" s="267">
        <v>26667.200000000001</v>
      </c>
      <c r="F110" s="267">
        <v>22949</v>
      </c>
    </row>
    <row r="111" spans="1:6">
      <c r="A111" s="32" t="s">
        <v>92</v>
      </c>
      <c r="B111" s="32" t="s">
        <v>49</v>
      </c>
      <c r="C111" s="31" t="s">
        <v>112</v>
      </c>
      <c r="D111" s="269">
        <v>3424.5</v>
      </c>
      <c r="E111" s="267">
        <v>3426.9</v>
      </c>
      <c r="F111" s="267">
        <v>1457.6</v>
      </c>
    </row>
    <row r="112" spans="1:6">
      <c r="A112" s="32"/>
      <c r="B112" s="32"/>
      <c r="C112" s="19" t="s">
        <v>161</v>
      </c>
      <c r="D112" s="118">
        <f>D71+D80+D85+D89+D94+D100+D102+D104+D109</f>
        <v>1303877.7</v>
      </c>
      <c r="E112" s="123">
        <f>E71+E80+E85+E89+E94+E100+E102+E104+E109</f>
        <v>1398602.4</v>
      </c>
      <c r="F112" s="123">
        <f>F71+F80+F85+F89+F94+F100+F102+F104+F109</f>
        <v>1403491.8</v>
      </c>
    </row>
    <row r="113" spans="2:7">
      <c r="C113" s="100"/>
      <c r="D113" s="38"/>
      <c r="E113" s="290"/>
      <c r="F113" s="100"/>
    </row>
    <row r="114" spans="2:7" ht="18.75" customHeight="1">
      <c r="C114" s="355" t="s">
        <v>177</v>
      </c>
      <c r="D114" s="355"/>
      <c r="E114" s="355"/>
      <c r="F114" s="355"/>
    </row>
    <row r="115" spans="2:7">
      <c r="C115" s="100"/>
      <c r="D115" s="100"/>
      <c r="E115" s="290"/>
      <c r="F115" s="117" t="s">
        <v>42</v>
      </c>
    </row>
    <row r="116" spans="2:7" ht="78.75">
      <c r="C116" s="36" t="s">
        <v>162</v>
      </c>
      <c r="D116" s="102" t="s">
        <v>455</v>
      </c>
      <c r="E116" s="341" t="s">
        <v>598</v>
      </c>
      <c r="F116" s="103" t="s">
        <v>473</v>
      </c>
    </row>
    <row r="117" spans="2:7" ht="31.5" customHeight="1">
      <c r="B117" s="29" t="s">
        <v>185</v>
      </c>
      <c r="C117" s="90" t="s">
        <v>178</v>
      </c>
      <c r="D117" s="120">
        <f>SUM(D118,D121)</f>
        <v>19820.300000000047</v>
      </c>
      <c r="E117" s="123">
        <f>SUM(E118,E121)</f>
        <v>4029.5</v>
      </c>
      <c r="F117" s="120">
        <f>SUM(F118,F121)</f>
        <v>-15000</v>
      </c>
    </row>
    <row r="118" spans="2:7" ht="31.5" customHeight="1">
      <c r="B118" s="29" t="s">
        <v>186</v>
      </c>
      <c r="C118" s="90" t="s">
        <v>179</v>
      </c>
      <c r="D118" s="120">
        <f>SUM(D119,D120)</f>
        <v>15000</v>
      </c>
      <c r="E118" s="123">
        <f>SUM(E119,E120)</f>
        <v>0</v>
      </c>
      <c r="F118" s="120">
        <f>SUM(F119,F120)</f>
        <v>-15000</v>
      </c>
    </row>
    <row r="119" spans="2:7" ht="31.5" customHeight="1">
      <c r="B119" s="37" t="s">
        <v>187</v>
      </c>
      <c r="C119" s="121" t="s">
        <v>180</v>
      </c>
      <c r="D119" s="270">
        <v>15000</v>
      </c>
      <c r="E119" s="344">
        <v>0</v>
      </c>
      <c r="F119" s="122">
        <v>0</v>
      </c>
    </row>
    <row r="120" spans="2:7" ht="47.25">
      <c r="B120" s="37" t="s">
        <v>188</v>
      </c>
      <c r="C120" s="121" t="s">
        <v>181</v>
      </c>
      <c r="D120" s="270">
        <v>0</v>
      </c>
      <c r="E120" s="344">
        <v>0</v>
      </c>
      <c r="F120" s="122">
        <v>-15000</v>
      </c>
    </row>
    <row r="121" spans="2:7" ht="19.5" customHeight="1">
      <c r="B121" s="29" t="s">
        <v>189</v>
      </c>
      <c r="C121" s="90" t="s">
        <v>182</v>
      </c>
      <c r="D121" s="271">
        <f>SUM(D122,D123)</f>
        <v>4820.3000000000466</v>
      </c>
      <c r="E121" s="123">
        <f>SUM(E122,E123)</f>
        <v>4029.5</v>
      </c>
      <c r="F121" s="123">
        <f>SUM(F122,F123)</f>
        <v>0</v>
      </c>
    </row>
    <row r="122" spans="2:7" ht="19.5" customHeight="1">
      <c r="B122" s="29" t="s">
        <v>190</v>
      </c>
      <c r="C122" s="114" t="s">
        <v>183</v>
      </c>
      <c r="D122" s="124">
        <v>-1331342.7</v>
      </c>
      <c r="E122" s="124">
        <v>-1394572.9</v>
      </c>
      <c r="F122" s="124">
        <v>-1418491.8</v>
      </c>
      <c r="G122" s="13"/>
    </row>
    <row r="123" spans="2:7" ht="20.25" customHeight="1">
      <c r="B123" s="29" t="s">
        <v>191</v>
      </c>
      <c r="C123" s="114" t="s">
        <v>184</v>
      </c>
      <c r="D123" s="124">
        <v>1336163</v>
      </c>
      <c r="E123" s="124">
        <v>1398602.4</v>
      </c>
      <c r="F123" s="124">
        <v>1418491.8</v>
      </c>
      <c r="G123" s="13"/>
    </row>
    <row r="124" spans="2:7" ht="15.75" customHeight="1"/>
    <row r="125" spans="2:7">
      <c r="C125" s="35"/>
    </row>
  </sheetData>
  <mergeCells count="3">
    <mergeCell ref="C1:F1"/>
    <mergeCell ref="C68:F68"/>
    <mergeCell ref="C114:F114"/>
  </mergeCells>
  <pageMargins left="0.78740157480314965" right="0.31496062992125984" top="0.39" bottom="0.39" header="0.31496062992125984" footer="0.31496062992125984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Zeros="0" topLeftCell="A10" zoomScale="80" zoomScaleNormal="80" workbookViewId="0">
      <selection activeCell="A11" sqref="A11"/>
    </sheetView>
  </sheetViews>
  <sheetFormatPr defaultColWidth="4.42578125" defaultRowHeight="15"/>
  <cols>
    <col min="1" max="1" width="90" customWidth="1"/>
    <col min="2" max="2" width="7.140625" style="21" hidden="1" customWidth="1"/>
    <col min="3" max="3" width="12.140625" customWidth="1"/>
    <col min="4" max="249" width="9.140625" customWidth="1"/>
    <col min="250" max="250" width="90" customWidth="1"/>
    <col min="251" max="251" width="16.140625" customWidth="1"/>
  </cols>
  <sheetData>
    <row r="1" spans="1:3" ht="54.75" customHeight="1">
      <c r="A1" s="356" t="s">
        <v>477</v>
      </c>
      <c r="B1" s="356"/>
    </row>
    <row r="2" spans="1:3">
      <c r="C2" s="279" t="s">
        <v>42</v>
      </c>
    </row>
    <row r="3" spans="1:3" ht="81" customHeight="1">
      <c r="A3" s="22" t="s">
        <v>43</v>
      </c>
      <c r="B3" s="23" t="s">
        <v>44</v>
      </c>
      <c r="C3" s="103" t="s">
        <v>473</v>
      </c>
    </row>
    <row r="4" spans="1:3" ht="15.75">
      <c r="A4" s="15" t="s">
        <v>122</v>
      </c>
      <c r="B4" s="16"/>
      <c r="C4" s="277">
        <f>SUM(C5,C32)</f>
        <v>1403491.8</v>
      </c>
    </row>
    <row r="5" spans="1:3" ht="15.75">
      <c r="A5" s="15" t="s">
        <v>123</v>
      </c>
      <c r="B5" s="17"/>
      <c r="C5" s="277">
        <f>SUM(C6,C7,C10,C12,C15,C18,C22,C23,C27,C30)</f>
        <v>1118136.6000000001</v>
      </c>
    </row>
    <row r="6" spans="1:3" ht="47.25">
      <c r="A6" s="19" t="s">
        <v>382</v>
      </c>
      <c r="B6" s="26" t="s">
        <v>46</v>
      </c>
      <c r="C6" s="277">
        <v>755</v>
      </c>
    </row>
    <row r="7" spans="1:3" ht="31.5">
      <c r="A7" s="19" t="s">
        <v>383</v>
      </c>
      <c r="B7" s="26" t="s">
        <v>49</v>
      </c>
      <c r="C7" s="277">
        <f>SUM(C8:C9)</f>
        <v>844263.8</v>
      </c>
    </row>
    <row r="8" spans="1:3" s="18" customFormat="1" ht="31.5">
      <c r="A8" s="94" t="s">
        <v>124</v>
      </c>
      <c r="B8" s="95" t="s">
        <v>125</v>
      </c>
      <c r="C8" s="278">
        <v>616535.1</v>
      </c>
    </row>
    <row r="9" spans="1:3" s="18" customFormat="1" ht="31.5">
      <c r="A9" s="94" t="s">
        <v>111</v>
      </c>
      <c r="B9" s="95" t="s">
        <v>126</v>
      </c>
      <c r="C9" s="278">
        <v>227728.7</v>
      </c>
    </row>
    <row r="10" spans="1:3" ht="33" customHeight="1">
      <c r="A10" s="19" t="s">
        <v>381</v>
      </c>
      <c r="B10" s="26" t="s">
        <v>63</v>
      </c>
      <c r="C10" s="277">
        <f>SUM(C11)</f>
        <v>300</v>
      </c>
    </row>
    <row r="11" spans="1:3" s="18" customFormat="1" ht="15.75">
      <c r="A11" s="94" t="s">
        <v>93</v>
      </c>
      <c r="B11" s="95" t="s">
        <v>127</v>
      </c>
      <c r="C11" s="276">
        <v>300</v>
      </c>
    </row>
    <row r="12" spans="1:3" ht="31.5">
      <c r="A12" s="19" t="s">
        <v>384</v>
      </c>
      <c r="B12" s="26" t="s">
        <v>53</v>
      </c>
      <c r="C12" s="277">
        <f>SUM(C13:C14)</f>
        <v>24406.6</v>
      </c>
    </row>
    <row r="13" spans="1:3" s="18" customFormat="1" ht="15.75">
      <c r="A13" s="94" t="s">
        <v>110</v>
      </c>
      <c r="B13" s="95" t="s">
        <v>128</v>
      </c>
      <c r="C13" s="278">
        <v>2057.6</v>
      </c>
    </row>
    <row r="14" spans="1:3" s="18" customFormat="1" ht="31.5">
      <c r="A14" s="94" t="s">
        <v>111</v>
      </c>
      <c r="B14" s="95" t="s">
        <v>129</v>
      </c>
      <c r="C14" s="278">
        <v>22349</v>
      </c>
    </row>
    <row r="15" spans="1:3" ht="31.5">
      <c r="A15" s="19" t="s">
        <v>385</v>
      </c>
      <c r="B15" s="26" t="s">
        <v>56</v>
      </c>
      <c r="C15" s="277">
        <f>SUM(C16:C17)</f>
        <v>87051.3</v>
      </c>
    </row>
    <row r="16" spans="1:3" s="18" customFormat="1" ht="15.75">
      <c r="A16" s="94" t="s">
        <v>83</v>
      </c>
      <c r="B16" s="95" t="s">
        <v>130</v>
      </c>
      <c r="C16" s="278">
        <v>52684.9</v>
      </c>
    </row>
    <row r="17" spans="1:3" s="18" customFormat="1" ht="15.75" customHeight="1">
      <c r="A17" s="94" t="s">
        <v>84</v>
      </c>
      <c r="B17" s="95" t="s">
        <v>131</v>
      </c>
      <c r="C17" s="278">
        <v>34366.400000000001</v>
      </c>
    </row>
    <row r="18" spans="1:3" ht="31.5">
      <c r="A18" s="19" t="s">
        <v>386</v>
      </c>
      <c r="B18" s="26" t="s">
        <v>90</v>
      </c>
      <c r="C18" s="277">
        <f>SUM(C19:C21)</f>
        <v>34973</v>
      </c>
    </row>
    <row r="19" spans="1:3" s="18" customFormat="1" ht="15.75">
      <c r="A19" s="94" t="s">
        <v>73</v>
      </c>
      <c r="B19" s="95" t="s">
        <v>132</v>
      </c>
      <c r="C19" s="278">
        <v>13838.2</v>
      </c>
    </row>
    <row r="20" spans="1:3" s="18" customFormat="1" ht="15.75">
      <c r="A20" s="94" t="s">
        <v>76</v>
      </c>
      <c r="B20" s="95" t="s">
        <v>133</v>
      </c>
      <c r="C20" s="278">
        <v>10413.9</v>
      </c>
    </row>
    <row r="21" spans="1:3" s="18" customFormat="1" ht="15.75">
      <c r="A21" s="94" t="s">
        <v>79</v>
      </c>
      <c r="B21" s="95" t="s">
        <v>134</v>
      </c>
      <c r="C21" s="278">
        <v>10720.9</v>
      </c>
    </row>
    <row r="22" spans="1:3" ht="31.5">
      <c r="A22" s="19" t="s">
        <v>387</v>
      </c>
      <c r="B22" s="26" t="s">
        <v>99</v>
      </c>
      <c r="C22" s="277">
        <v>54671.6</v>
      </c>
    </row>
    <row r="23" spans="1:3" ht="31.5">
      <c r="A23" s="19" t="s">
        <v>388</v>
      </c>
      <c r="B23" s="26" t="s">
        <v>72</v>
      </c>
      <c r="C23" s="277">
        <f>SUM(C24:C26)</f>
        <v>68165.3</v>
      </c>
    </row>
    <row r="24" spans="1:3" s="18" customFormat="1" ht="36.75" customHeight="1">
      <c r="A24" s="272" t="s">
        <v>94</v>
      </c>
      <c r="B24" s="273" t="s">
        <v>135</v>
      </c>
      <c r="C24" s="278">
        <v>10101.1</v>
      </c>
    </row>
    <row r="25" spans="1:3" s="18" customFormat="1" ht="31.5">
      <c r="A25" s="94" t="s">
        <v>389</v>
      </c>
      <c r="B25" s="273" t="s">
        <v>136</v>
      </c>
      <c r="C25" s="278">
        <v>58064.2</v>
      </c>
    </row>
    <row r="26" spans="1:3" s="18" customFormat="1" ht="21" customHeight="1">
      <c r="A26" s="272" t="s">
        <v>95</v>
      </c>
      <c r="B26" s="273" t="s">
        <v>137</v>
      </c>
      <c r="C26" s="278">
        <v>0</v>
      </c>
    </row>
    <row r="27" spans="1:3" ht="31.5">
      <c r="A27" s="24" t="s">
        <v>390</v>
      </c>
      <c r="B27" s="26" t="s">
        <v>75</v>
      </c>
      <c r="C27" s="277">
        <f>SUM(C28:C29)</f>
        <v>3450</v>
      </c>
    </row>
    <row r="28" spans="1:3" s="28" customFormat="1" ht="31.5">
      <c r="A28" s="94" t="s">
        <v>391</v>
      </c>
      <c r="B28" s="26"/>
      <c r="C28" s="278">
        <v>1925</v>
      </c>
    </row>
    <row r="29" spans="1:3" s="28" customFormat="1" ht="47.25">
      <c r="A29" s="94" t="s">
        <v>392</v>
      </c>
      <c r="B29" s="26"/>
      <c r="C29" s="278">
        <v>1525</v>
      </c>
    </row>
    <row r="30" spans="1:3" s="28" customFormat="1" ht="47.25">
      <c r="A30" s="24" t="s">
        <v>393</v>
      </c>
      <c r="B30" s="26"/>
      <c r="C30" s="277">
        <f>SUM(C31)</f>
        <v>100</v>
      </c>
    </row>
    <row r="31" spans="1:3" s="28" customFormat="1" ht="31.5">
      <c r="A31" s="94" t="s">
        <v>394</v>
      </c>
      <c r="B31" s="26"/>
      <c r="C31" s="278">
        <v>100</v>
      </c>
    </row>
    <row r="32" spans="1:3" s="25" customFormat="1" ht="15.75">
      <c r="A32" s="97" t="s">
        <v>138</v>
      </c>
      <c r="B32" s="26"/>
      <c r="C32" s="277">
        <f>SUM(C33,C37,C40,C43,C45,C47)</f>
        <v>285355.2</v>
      </c>
    </row>
    <row r="33" spans="1:3" ht="31.5">
      <c r="A33" s="19" t="s">
        <v>50</v>
      </c>
      <c r="B33" s="26" t="s">
        <v>139</v>
      </c>
      <c r="C33" s="277">
        <f>SUM(C34:C35)</f>
        <v>77990.5</v>
      </c>
    </row>
    <row r="34" spans="1:3" s="18" customFormat="1" ht="15.75">
      <c r="A34" s="20" t="s">
        <v>51</v>
      </c>
      <c r="B34" s="96" t="s">
        <v>140</v>
      </c>
      <c r="C34" s="276">
        <v>5060.8999999999996</v>
      </c>
    </row>
    <row r="35" spans="1:3" s="18" customFormat="1" ht="15.75">
      <c r="A35" s="20" t="s">
        <v>54</v>
      </c>
      <c r="B35" s="96" t="s">
        <v>142</v>
      </c>
      <c r="C35" s="276">
        <v>72929.600000000006</v>
      </c>
    </row>
    <row r="36" spans="1:3" ht="47.25" hidden="1">
      <c r="A36" s="98" t="s">
        <v>143</v>
      </c>
      <c r="B36" s="96" t="s">
        <v>64</v>
      </c>
      <c r="C36" s="276"/>
    </row>
    <row r="37" spans="1:3" ht="31.5">
      <c r="A37" s="19" t="s">
        <v>61</v>
      </c>
      <c r="B37" s="26" t="s">
        <v>144</v>
      </c>
      <c r="C37" s="277">
        <f>SUM(C38:C39)</f>
        <v>165784.29999999999</v>
      </c>
    </row>
    <row r="38" spans="1:3" s="18" customFormat="1" ht="31.5">
      <c r="A38" s="20" t="s">
        <v>62</v>
      </c>
      <c r="B38" s="96" t="s">
        <v>145</v>
      </c>
      <c r="C38" s="276">
        <v>69431.100000000006</v>
      </c>
    </row>
    <row r="39" spans="1:3" s="18" customFormat="1" ht="15.75">
      <c r="A39" s="20" t="s">
        <v>107</v>
      </c>
      <c r="B39" s="96" t="s">
        <v>146</v>
      </c>
      <c r="C39" s="276">
        <v>96353.2</v>
      </c>
    </row>
    <row r="40" spans="1:3" ht="15.75">
      <c r="A40" s="19" t="s">
        <v>57</v>
      </c>
      <c r="B40" s="26" t="s">
        <v>147</v>
      </c>
      <c r="C40" s="277">
        <f>SUM(C41:C42)</f>
        <v>35411</v>
      </c>
    </row>
    <row r="41" spans="1:3" s="18" customFormat="1" ht="15.75">
      <c r="A41" s="20" t="s">
        <v>58</v>
      </c>
      <c r="B41" s="96" t="s">
        <v>148</v>
      </c>
      <c r="C41" s="276">
        <v>25453.8</v>
      </c>
    </row>
    <row r="42" spans="1:3" s="25" customFormat="1" ht="15.75">
      <c r="A42" s="20" t="s">
        <v>97</v>
      </c>
      <c r="B42" s="96" t="s">
        <v>149</v>
      </c>
      <c r="C42" s="276">
        <v>9957.2000000000007</v>
      </c>
    </row>
    <row r="43" spans="1:3" ht="15.75">
      <c r="A43" s="19" t="s">
        <v>113</v>
      </c>
      <c r="B43" s="26" t="s">
        <v>150</v>
      </c>
      <c r="C43" s="277">
        <f>SUM(C44)</f>
        <v>50</v>
      </c>
    </row>
    <row r="44" spans="1:3" s="18" customFormat="1" ht="15.75">
      <c r="A44" s="20" t="s">
        <v>115</v>
      </c>
      <c r="B44" s="96" t="s">
        <v>151</v>
      </c>
      <c r="C44" s="276">
        <v>50</v>
      </c>
    </row>
    <row r="45" spans="1:3" ht="15.75">
      <c r="A45" s="19" t="s">
        <v>116</v>
      </c>
      <c r="B45" s="26" t="s">
        <v>152</v>
      </c>
      <c r="C45" s="277">
        <f>SUM(C46)</f>
        <v>3775</v>
      </c>
    </row>
    <row r="46" spans="1:3" s="18" customFormat="1" ht="16.5" customHeight="1">
      <c r="A46" s="20" t="s">
        <v>118</v>
      </c>
      <c r="B46" s="96" t="s">
        <v>153</v>
      </c>
      <c r="C46" s="276">
        <v>3775</v>
      </c>
    </row>
    <row r="47" spans="1:3" ht="15.75">
      <c r="A47" s="19" t="s">
        <v>119</v>
      </c>
      <c r="B47" s="26" t="s">
        <v>154</v>
      </c>
      <c r="C47" s="277">
        <f>SUM(C48)</f>
        <v>2344.4</v>
      </c>
    </row>
    <row r="48" spans="1:3" s="18" customFormat="1" ht="31.5">
      <c r="A48" s="20" t="s">
        <v>120</v>
      </c>
      <c r="B48" s="96" t="s">
        <v>155</v>
      </c>
      <c r="C48" s="276">
        <v>2344.4</v>
      </c>
    </row>
    <row r="49" spans="1:2" ht="96" hidden="1" customHeight="1">
      <c r="A49" s="274" t="s">
        <v>141</v>
      </c>
      <c r="B49" s="275" t="s">
        <v>121</v>
      </c>
    </row>
  </sheetData>
  <mergeCells count="1">
    <mergeCell ref="A1:B1"/>
  </mergeCells>
  <pageMargins left="0.31496062992125984" right="0.31496062992125984" top="0.51181102362204722" bottom="0.23622047244094491" header="0.31496062992125984" footer="0.19685039370078741"/>
  <pageSetup paperSize="9" scale="92" fitToHeight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S139"/>
  <sheetViews>
    <sheetView view="pageBreakPreview" zoomScale="90" zoomScaleNormal="100" zoomScaleSheetLayoutView="90" workbookViewId="0">
      <pane xSplit="2" ySplit="6" topLeftCell="M7" activePane="bottomRight" state="frozen"/>
      <selection pane="topRight" activeCell="C1" sqref="C1"/>
      <selection pane="bottomLeft" activeCell="A8" sqref="A8"/>
      <selection pane="bottomRight" activeCell="A3" sqref="A3:Q3"/>
    </sheetView>
  </sheetViews>
  <sheetFormatPr defaultRowHeight="12.75"/>
  <cols>
    <col min="1" max="1" width="98.85546875" style="50" customWidth="1"/>
    <col min="2" max="2" width="35.140625" style="46" bestFit="1" customWidth="1"/>
    <col min="3" max="9" width="8.42578125" style="46" hidden="1" customWidth="1"/>
    <col min="10" max="10" width="12.85546875" style="46" hidden="1" customWidth="1"/>
    <col min="11" max="11" width="10.7109375" style="46" hidden="1" customWidth="1"/>
    <col min="12" max="12" width="9.28515625" style="46" hidden="1" customWidth="1"/>
    <col min="13" max="13" width="9.28515625" style="46" bestFit="1" customWidth="1"/>
    <col min="14" max="14" width="9" style="46" customWidth="1"/>
    <col min="15" max="17" width="10.140625" style="46" bestFit="1" customWidth="1"/>
    <col min="18" max="256" width="9.140625" style="46"/>
    <col min="257" max="257" width="98.85546875" style="46" customWidth="1"/>
    <col min="258" max="258" width="35.140625" style="46" bestFit="1" customWidth="1"/>
    <col min="259" max="268" width="0" style="46" hidden="1" customWidth="1"/>
    <col min="269" max="269" width="9.28515625" style="46" bestFit="1" customWidth="1"/>
    <col min="270" max="270" width="9" style="46" customWidth="1"/>
    <col min="271" max="273" width="10.140625" style="46" bestFit="1" customWidth="1"/>
    <col min="274" max="512" width="9.140625" style="46"/>
    <col min="513" max="513" width="98.85546875" style="46" customWidth="1"/>
    <col min="514" max="514" width="35.140625" style="46" bestFit="1" customWidth="1"/>
    <col min="515" max="524" width="0" style="46" hidden="1" customWidth="1"/>
    <col min="525" max="525" width="9.28515625" style="46" bestFit="1" customWidth="1"/>
    <col min="526" max="526" width="9" style="46" customWidth="1"/>
    <col min="527" max="529" width="10.140625" style="46" bestFit="1" customWidth="1"/>
    <col min="530" max="768" width="9.140625" style="46"/>
    <col min="769" max="769" width="98.85546875" style="46" customWidth="1"/>
    <col min="770" max="770" width="35.140625" style="46" bestFit="1" customWidth="1"/>
    <col min="771" max="780" width="0" style="46" hidden="1" customWidth="1"/>
    <col min="781" max="781" width="9.28515625" style="46" bestFit="1" customWidth="1"/>
    <col min="782" max="782" width="9" style="46" customWidth="1"/>
    <col min="783" max="785" width="10.140625" style="46" bestFit="1" customWidth="1"/>
    <col min="786" max="1024" width="9.140625" style="46"/>
    <col min="1025" max="1025" width="98.85546875" style="46" customWidth="1"/>
    <col min="1026" max="1026" width="35.140625" style="46" bestFit="1" customWidth="1"/>
    <col min="1027" max="1036" width="0" style="46" hidden="1" customWidth="1"/>
    <col min="1037" max="1037" width="9.28515625" style="46" bestFit="1" customWidth="1"/>
    <col min="1038" max="1038" width="9" style="46" customWidth="1"/>
    <col min="1039" max="1041" width="10.140625" style="46" bestFit="1" customWidth="1"/>
    <col min="1042" max="1280" width="9.140625" style="46"/>
    <col min="1281" max="1281" width="98.85546875" style="46" customWidth="1"/>
    <col min="1282" max="1282" width="35.140625" style="46" bestFit="1" customWidth="1"/>
    <col min="1283" max="1292" width="0" style="46" hidden="1" customWidth="1"/>
    <col min="1293" max="1293" width="9.28515625" style="46" bestFit="1" customWidth="1"/>
    <col min="1294" max="1294" width="9" style="46" customWidth="1"/>
    <col min="1295" max="1297" width="10.140625" style="46" bestFit="1" customWidth="1"/>
    <col min="1298" max="1536" width="9.140625" style="46"/>
    <col min="1537" max="1537" width="98.85546875" style="46" customWidth="1"/>
    <col min="1538" max="1538" width="35.140625" style="46" bestFit="1" customWidth="1"/>
    <col min="1539" max="1548" width="0" style="46" hidden="1" customWidth="1"/>
    <col min="1549" max="1549" width="9.28515625" style="46" bestFit="1" customWidth="1"/>
    <col min="1550" max="1550" width="9" style="46" customWidth="1"/>
    <col min="1551" max="1553" width="10.140625" style="46" bestFit="1" customWidth="1"/>
    <col min="1554" max="1792" width="9.140625" style="46"/>
    <col min="1793" max="1793" width="98.85546875" style="46" customWidth="1"/>
    <col min="1794" max="1794" width="35.140625" style="46" bestFit="1" customWidth="1"/>
    <col min="1795" max="1804" width="0" style="46" hidden="1" customWidth="1"/>
    <col min="1805" max="1805" width="9.28515625" style="46" bestFit="1" customWidth="1"/>
    <col min="1806" max="1806" width="9" style="46" customWidth="1"/>
    <col min="1807" max="1809" width="10.140625" style="46" bestFit="1" customWidth="1"/>
    <col min="1810" max="2048" width="9.140625" style="46"/>
    <col min="2049" max="2049" width="98.85546875" style="46" customWidth="1"/>
    <col min="2050" max="2050" width="35.140625" style="46" bestFit="1" customWidth="1"/>
    <col min="2051" max="2060" width="0" style="46" hidden="1" customWidth="1"/>
    <col min="2061" max="2061" width="9.28515625" style="46" bestFit="1" customWidth="1"/>
    <col min="2062" max="2062" width="9" style="46" customWidth="1"/>
    <col min="2063" max="2065" width="10.140625" style="46" bestFit="1" customWidth="1"/>
    <col min="2066" max="2304" width="9.140625" style="46"/>
    <col min="2305" max="2305" width="98.85546875" style="46" customWidth="1"/>
    <col min="2306" max="2306" width="35.140625" style="46" bestFit="1" customWidth="1"/>
    <col min="2307" max="2316" width="0" style="46" hidden="1" customWidth="1"/>
    <col min="2317" max="2317" width="9.28515625" style="46" bestFit="1" customWidth="1"/>
    <col min="2318" max="2318" width="9" style="46" customWidth="1"/>
    <col min="2319" max="2321" width="10.140625" style="46" bestFit="1" customWidth="1"/>
    <col min="2322" max="2560" width="9.140625" style="46"/>
    <col min="2561" max="2561" width="98.85546875" style="46" customWidth="1"/>
    <col min="2562" max="2562" width="35.140625" style="46" bestFit="1" customWidth="1"/>
    <col min="2563" max="2572" width="0" style="46" hidden="1" customWidth="1"/>
    <col min="2573" max="2573" width="9.28515625" style="46" bestFit="1" customWidth="1"/>
    <col min="2574" max="2574" width="9" style="46" customWidth="1"/>
    <col min="2575" max="2577" width="10.140625" style="46" bestFit="1" customWidth="1"/>
    <col min="2578" max="2816" width="9.140625" style="46"/>
    <col min="2817" max="2817" width="98.85546875" style="46" customWidth="1"/>
    <col min="2818" max="2818" width="35.140625" style="46" bestFit="1" customWidth="1"/>
    <col min="2819" max="2828" width="0" style="46" hidden="1" customWidth="1"/>
    <col min="2829" max="2829" width="9.28515625" style="46" bestFit="1" customWidth="1"/>
    <col min="2830" max="2830" width="9" style="46" customWidth="1"/>
    <col min="2831" max="2833" width="10.140625" style="46" bestFit="1" customWidth="1"/>
    <col min="2834" max="3072" width="9.140625" style="46"/>
    <col min="3073" max="3073" width="98.85546875" style="46" customWidth="1"/>
    <col min="3074" max="3074" width="35.140625" style="46" bestFit="1" customWidth="1"/>
    <col min="3075" max="3084" width="0" style="46" hidden="1" customWidth="1"/>
    <col min="3085" max="3085" width="9.28515625" style="46" bestFit="1" customWidth="1"/>
    <col min="3086" max="3086" width="9" style="46" customWidth="1"/>
    <col min="3087" max="3089" width="10.140625" style="46" bestFit="1" customWidth="1"/>
    <col min="3090" max="3328" width="9.140625" style="46"/>
    <col min="3329" max="3329" width="98.85546875" style="46" customWidth="1"/>
    <col min="3330" max="3330" width="35.140625" style="46" bestFit="1" customWidth="1"/>
    <col min="3331" max="3340" width="0" style="46" hidden="1" customWidth="1"/>
    <col min="3341" max="3341" width="9.28515625" style="46" bestFit="1" customWidth="1"/>
    <col min="3342" max="3342" width="9" style="46" customWidth="1"/>
    <col min="3343" max="3345" width="10.140625" style="46" bestFit="1" customWidth="1"/>
    <col min="3346" max="3584" width="9.140625" style="46"/>
    <col min="3585" max="3585" width="98.85546875" style="46" customWidth="1"/>
    <col min="3586" max="3586" width="35.140625" style="46" bestFit="1" customWidth="1"/>
    <col min="3587" max="3596" width="0" style="46" hidden="1" customWidth="1"/>
    <col min="3597" max="3597" width="9.28515625" style="46" bestFit="1" customWidth="1"/>
    <col min="3598" max="3598" width="9" style="46" customWidth="1"/>
    <col min="3599" max="3601" width="10.140625" style="46" bestFit="1" customWidth="1"/>
    <col min="3602" max="3840" width="9.140625" style="46"/>
    <col min="3841" max="3841" width="98.85546875" style="46" customWidth="1"/>
    <col min="3842" max="3842" width="35.140625" style="46" bestFit="1" customWidth="1"/>
    <col min="3843" max="3852" width="0" style="46" hidden="1" customWidth="1"/>
    <col min="3853" max="3853" width="9.28515625" style="46" bestFit="1" customWidth="1"/>
    <col min="3854" max="3854" width="9" style="46" customWidth="1"/>
    <col min="3855" max="3857" width="10.140625" style="46" bestFit="1" customWidth="1"/>
    <col min="3858" max="4096" width="9.140625" style="46"/>
    <col min="4097" max="4097" width="98.85546875" style="46" customWidth="1"/>
    <col min="4098" max="4098" width="35.140625" style="46" bestFit="1" customWidth="1"/>
    <col min="4099" max="4108" width="0" style="46" hidden="1" customWidth="1"/>
    <col min="4109" max="4109" width="9.28515625" style="46" bestFit="1" customWidth="1"/>
    <col min="4110" max="4110" width="9" style="46" customWidth="1"/>
    <col min="4111" max="4113" width="10.140625" style="46" bestFit="1" customWidth="1"/>
    <col min="4114" max="4352" width="9.140625" style="46"/>
    <col min="4353" max="4353" width="98.85546875" style="46" customWidth="1"/>
    <col min="4354" max="4354" width="35.140625" style="46" bestFit="1" customWidth="1"/>
    <col min="4355" max="4364" width="0" style="46" hidden="1" customWidth="1"/>
    <col min="4365" max="4365" width="9.28515625" style="46" bestFit="1" customWidth="1"/>
    <col min="4366" max="4366" width="9" style="46" customWidth="1"/>
    <col min="4367" max="4369" width="10.140625" style="46" bestFit="1" customWidth="1"/>
    <col min="4370" max="4608" width="9.140625" style="46"/>
    <col min="4609" max="4609" width="98.85546875" style="46" customWidth="1"/>
    <col min="4610" max="4610" width="35.140625" style="46" bestFit="1" customWidth="1"/>
    <col min="4611" max="4620" width="0" style="46" hidden="1" customWidth="1"/>
    <col min="4621" max="4621" width="9.28515625" style="46" bestFit="1" customWidth="1"/>
    <col min="4622" max="4622" width="9" style="46" customWidth="1"/>
    <col min="4623" max="4625" width="10.140625" style="46" bestFit="1" customWidth="1"/>
    <col min="4626" max="4864" width="9.140625" style="46"/>
    <col min="4865" max="4865" width="98.85546875" style="46" customWidth="1"/>
    <col min="4866" max="4866" width="35.140625" style="46" bestFit="1" customWidth="1"/>
    <col min="4867" max="4876" width="0" style="46" hidden="1" customWidth="1"/>
    <col min="4877" max="4877" width="9.28515625" style="46" bestFit="1" customWidth="1"/>
    <col min="4878" max="4878" width="9" style="46" customWidth="1"/>
    <col min="4879" max="4881" width="10.140625" style="46" bestFit="1" customWidth="1"/>
    <col min="4882" max="5120" width="9.140625" style="46"/>
    <col min="5121" max="5121" width="98.85546875" style="46" customWidth="1"/>
    <col min="5122" max="5122" width="35.140625" style="46" bestFit="1" customWidth="1"/>
    <col min="5123" max="5132" width="0" style="46" hidden="1" customWidth="1"/>
    <col min="5133" max="5133" width="9.28515625" style="46" bestFit="1" customWidth="1"/>
    <col min="5134" max="5134" width="9" style="46" customWidth="1"/>
    <col min="5135" max="5137" width="10.140625" style="46" bestFit="1" customWidth="1"/>
    <col min="5138" max="5376" width="9.140625" style="46"/>
    <col min="5377" max="5377" width="98.85546875" style="46" customWidth="1"/>
    <col min="5378" max="5378" width="35.140625" style="46" bestFit="1" customWidth="1"/>
    <col min="5379" max="5388" width="0" style="46" hidden="1" customWidth="1"/>
    <col min="5389" max="5389" width="9.28515625" style="46" bestFit="1" customWidth="1"/>
    <col min="5390" max="5390" width="9" style="46" customWidth="1"/>
    <col min="5391" max="5393" width="10.140625" style="46" bestFit="1" customWidth="1"/>
    <col min="5394" max="5632" width="9.140625" style="46"/>
    <col min="5633" max="5633" width="98.85546875" style="46" customWidth="1"/>
    <col min="5634" max="5634" width="35.140625" style="46" bestFit="1" customWidth="1"/>
    <col min="5635" max="5644" width="0" style="46" hidden="1" customWidth="1"/>
    <col min="5645" max="5645" width="9.28515625" style="46" bestFit="1" customWidth="1"/>
    <col min="5646" max="5646" width="9" style="46" customWidth="1"/>
    <col min="5647" max="5649" width="10.140625" style="46" bestFit="1" customWidth="1"/>
    <col min="5650" max="5888" width="9.140625" style="46"/>
    <col min="5889" max="5889" width="98.85546875" style="46" customWidth="1"/>
    <col min="5890" max="5890" width="35.140625" style="46" bestFit="1" customWidth="1"/>
    <col min="5891" max="5900" width="0" style="46" hidden="1" customWidth="1"/>
    <col min="5901" max="5901" width="9.28515625" style="46" bestFit="1" customWidth="1"/>
    <col min="5902" max="5902" width="9" style="46" customWidth="1"/>
    <col min="5903" max="5905" width="10.140625" style="46" bestFit="1" customWidth="1"/>
    <col min="5906" max="6144" width="9.140625" style="46"/>
    <col min="6145" max="6145" width="98.85546875" style="46" customWidth="1"/>
    <col min="6146" max="6146" width="35.140625" style="46" bestFit="1" customWidth="1"/>
    <col min="6147" max="6156" width="0" style="46" hidden="1" customWidth="1"/>
    <col min="6157" max="6157" width="9.28515625" style="46" bestFit="1" customWidth="1"/>
    <col min="6158" max="6158" width="9" style="46" customWidth="1"/>
    <col min="6159" max="6161" width="10.140625" style="46" bestFit="1" customWidth="1"/>
    <col min="6162" max="6400" width="9.140625" style="46"/>
    <col min="6401" max="6401" width="98.85546875" style="46" customWidth="1"/>
    <col min="6402" max="6402" width="35.140625" style="46" bestFit="1" customWidth="1"/>
    <col min="6403" max="6412" width="0" style="46" hidden="1" customWidth="1"/>
    <col min="6413" max="6413" width="9.28515625" style="46" bestFit="1" customWidth="1"/>
    <col min="6414" max="6414" width="9" style="46" customWidth="1"/>
    <col min="6415" max="6417" width="10.140625" style="46" bestFit="1" customWidth="1"/>
    <col min="6418" max="6656" width="9.140625" style="46"/>
    <col min="6657" max="6657" width="98.85546875" style="46" customWidth="1"/>
    <col min="6658" max="6658" width="35.140625" style="46" bestFit="1" customWidth="1"/>
    <col min="6659" max="6668" width="0" style="46" hidden="1" customWidth="1"/>
    <col min="6669" max="6669" width="9.28515625" style="46" bestFit="1" customWidth="1"/>
    <col min="6670" max="6670" width="9" style="46" customWidth="1"/>
    <col min="6671" max="6673" width="10.140625" style="46" bestFit="1" customWidth="1"/>
    <col min="6674" max="6912" width="9.140625" style="46"/>
    <col min="6913" max="6913" width="98.85546875" style="46" customWidth="1"/>
    <col min="6914" max="6914" width="35.140625" style="46" bestFit="1" customWidth="1"/>
    <col min="6915" max="6924" width="0" style="46" hidden="1" customWidth="1"/>
    <col min="6925" max="6925" width="9.28515625" style="46" bestFit="1" customWidth="1"/>
    <col min="6926" max="6926" width="9" style="46" customWidth="1"/>
    <col min="6927" max="6929" width="10.140625" style="46" bestFit="1" customWidth="1"/>
    <col min="6930" max="7168" width="9.140625" style="46"/>
    <col min="7169" max="7169" width="98.85546875" style="46" customWidth="1"/>
    <col min="7170" max="7170" width="35.140625" style="46" bestFit="1" customWidth="1"/>
    <col min="7171" max="7180" width="0" style="46" hidden="1" customWidth="1"/>
    <col min="7181" max="7181" width="9.28515625" style="46" bestFit="1" customWidth="1"/>
    <col min="7182" max="7182" width="9" style="46" customWidth="1"/>
    <col min="7183" max="7185" width="10.140625" style="46" bestFit="1" customWidth="1"/>
    <col min="7186" max="7424" width="9.140625" style="46"/>
    <col min="7425" max="7425" width="98.85546875" style="46" customWidth="1"/>
    <col min="7426" max="7426" width="35.140625" style="46" bestFit="1" customWidth="1"/>
    <col min="7427" max="7436" width="0" style="46" hidden="1" customWidth="1"/>
    <col min="7437" max="7437" width="9.28515625" style="46" bestFit="1" customWidth="1"/>
    <col min="7438" max="7438" width="9" style="46" customWidth="1"/>
    <col min="7439" max="7441" width="10.140625" style="46" bestFit="1" customWidth="1"/>
    <col min="7442" max="7680" width="9.140625" style="46"/>
    <col min="7681" max="7681" width="98.85546875" style="46" customWidth="1"/>
    <col min="7682" max="7682" width="35.140625" style="46" bestFit="1" customWidth="1"/>
    <col min="7683" max="7692" width="0" style="46" hidden="1" customWidth="1"/>
    <col min="7693" max="7693" width="9.28515625" style="46" bestFit="1" customWidth="1"/>
    <col min="7694" max="7694" width="9" style="46" customWidth="1"/>
    <col min="7695" max="7697" width="10.140625" style="46" bestFit="1" customWidth="1"/>
    <col min="7698" max="7936" width="9.140625" style="46"/>
    <col min="7937" max="7937" width="98.85546875" style="46" customWidth="1"/>
    <col min="7938" max="7938" width="35.140625" style="46" bestFit="1" customWidth="1"/>
    <col min="7939" max="7948" width="0" style="46" hidden="1" customWidth="1"/>
    <col min="7949" max="7949" width="9.28515625" style="46" bestFit="1" customWidth="1"/>
    <col min="7950" max="7950" width="9" style="46" customWidth="1"/>
    <col min="7951" max="7953" width="10.140625" style="46" bestFit="1" customWidth="1"/>
    <col min="7954" max="8192" width="9.140625" style="46"/>
    <col min="8193" max="8193" width="98.85546875" style="46" customWidth="1"/>
    <col min="8194" max="8194" width="35.140625" style="46" bestFit="1" customWidth="1"/>
    <col min="8195" max="8204" width="0" style="46" hidden="1" customWidth="1"/>
    <col min="8205" max="8205" width="9.28515625" style="46" bestFit="1" customWidth="1"/>
    <col min="8206" max="8206" width="9" style="46" customWidth="1"/>
    <col min="8207" max="8209" width="10.140625" style="46" bestFit="1" customWidth="1"/>
    <col min="8210" max="8448" width="9.140625" style="46"/>
    <col min="8449" max="8449" width="98.85546875" style="46" customWidth="1"/>
    <col min="8450" max="8450" width="35.140625" style="46" bestFit="1" customWidth="1"/>
    <col min="8451" max="8460" width="0" style="46" hidden="1" customWidth="1"/>
    <col min="8461" max="8461" width="9.28515625" style="46" bestFit="1" customWidth="1"/>
    <col min="8462" max="8462" width="9" style="46" customWidth="1"/>
    <col min="8463" max="8465" width="10.140625" style="46" bestFit="1" customWidth="1"/>
    <col min="8466" max="8704" width="9.140625" style="46"/>
    <col min="8705" max="8705" width="98.85546875" style="46" customWidth="1"/>
    <col min="8706" max="8706" width="35.140625" style="46" bestFit="1" customWidth="1"/>
    <col min="8707" max="8716" width="0" style="46" hidden="1" customWidth="1"/>
    <col min="8717" max="8717" width="9.28515625" style="46" bestFit="1" customWidth="1"/>
    <col min="8718" max="8718" width="9" style="46" customWidth="1"/>
    <col min="8719" max="8721" width="10.140625" style="46" bestFit="1" customWidth="1"/>
    <col min="8722" max="8960" width="9.140625" style="46"/>
    <col min="8961" max="8961" width="98.85546875" style="46" customWidth="1"/>
    <col min="8962" max="8962" width="35.140625" style="46" bestFit="1" customWidth="1"/>
    <col min="8963" max="8972" width="0" style="46" hidden="1" customWidth="1"/>
    <col min="8973" max="8973" width="9.28515625" style="46" bestFit="1" customWidth="1"/>
    <col min="8974" max="8974" width="9" style="46" customWidth="1"/>
    <col min="8975" max="8977" width="10.140625" style="46" bestFit="1" customWidth="1"/>
    <col min="8978" max="9216" width="9.140625" style="46"/>
    <col min="9217" max="9217" width="98.85546875" style="46" customWidth="1"/>
    <col min="9218" max="9218" width="35.140625" style="46" bestFit="1" customWidth="1"/>
    <col min="9219" max="9228" width="0" style="46" hidden="1" customWidth="1"/>
    <col min="9229" max="9229" width="9.28515625" style="46" bestFit="1" customWidth="1"/>
    <col min="9230" max="9230" width="9" style="46" customWidth="1"/>
    <col min="9231" max="9233" width="10.140625" style="46" bestFit="1" customWidth="1"/>
    <col min="9234" max="9472" width="9.140625" style="46"/>
    <col min="9473" max="9473" width="98.85546875" style="46" customWidth="1"/>
    <col min="9474" max="9474" width="35.140625" style="46" bestFit="1" customWidth="1"/>
    <col min="9475" max="9484" width="0" style="46" hidden="1" customWidth="1"/>
    <col min="9485" max="9485" width="9.28515625" style="46" bestFit="1" customWidth="1"/>
    <col min="9486" max="9486" width="9" style="46" customWidth="1"/>
    <col min="9487" max="9489" width="10.140625" style="46" bestFit="1" customWidth="1"/>
    <col min="9490" max="9728" width="9.140625" style="46"/>
    <col min="9729" max="9729" width="98.85546875" style="46" customWidth="1"/>
    <col min="9730" max="9730" width="35.140625" style="46" bestFit="1" customWidth="1"/>
    <col min="9731" max="9740" width="0" style="46" hidden="1" customWidth="1"/>
    <col min="9741" max="9741" width="9.28515625" style="46" bestFit="1" customWidth="1"/>
    <col min="9742" max="9742" width="9" style="46" customWidth="1"/>
    <col min="9743" max="9745" width="10.140625" style="46" bestFit="1" customWidth="1"/>
    <col min="9746" max="9984" width="9.140625" style="46"/>
    <col min="9985" max="9985" width="98.85546875" style="46" customWidth="1"/>
    <col min="9986" max="9986" width="35.140625" style="46" bestFit="1" customWidth="1"/>
    <col min="9987" max="9996" width="0" style="46" hidden="1" customWidth="1"/>
    <col min="9997" max="9997" width="9.28515625" style="46" bestFit="1" customWidth="1"/>
    <col min="9998" max="9998" width="9" style="46" customWidth="1"/>
    <col min="9999" max="10001" width="10.140625" style="46" bestFit="1" customWidth="1"/>
    <col min="10002" max="10240" width="9.140625" style="46"/>
    <col min="10241" max="10241" width="98.85546875" style="46" customWidth="1"/>
    <col min="10242" max="10242" width="35.140625" style="46" bestFit="1" customWidth="1"/>
    <col min="10243" max="10252" width="0" style="46" hidden="1" customWidth="1"/>
    <col min="10253" max="10253" width="9.28515625" style="46" bestFit="1" customWidth="1"/>
    <col min="10254" max="10254" width="9" style="46" customWidth="1"/>
    <col min="10255" max="10257" width="10.140625" style="46" bestFit="1" customWidth="1"/>
    <col min="10258" max="10496" width="9.140625" style="46"/>
    <col min="10497" max="10497" width="98.85546875" style="46" customWidth="1"/>
    <col min="10498" max="10498" width="35.140625" style="46" bestFit="1" customWidth="1"/>
    <col min="10499" max="10508" width="0" style="46" hidden="1" customWidth="1"/>
    <col min="10509" max="10509" width="9.28515625" style="46" bestFit="1" customWidth="1"/>
    <col min="10510" max="10510" width="9" style="46" customWidth="1"/>
    <col min="10511" max="10513" width="10.140625" style="46" bestFit="1" customWidth="1"/>
    <col min="10514" max="10752" width="9.140625" style="46"/>
    <col min="10753" max="10753" width="98.85546875" style="46" customWidth="1"/>
    <col min="10754" max="10754" width="35.140625" style="46" bestFit="1" customWidth="1"/>
    <col min="10755" max="10764" width="0" style="46" hidden="1" customWidth="1"/>
    <col min="10765" max="10765" width="9.28515625" style="46" bestFit="1" customWidth="1"/>
    <col min="10766" max="10766" width="9" style="46" customWidth="1"/>
    <col min="10767" max="10769" width="10.140625" style="46" bestFit="1" customWidth="1"/>
    <col min="10770" max="11008" width="9.140625" style="46"/>
    <col min="11009" max="11009" width="98.85546875" style="46" customWidth="1"/>
    <col min="11010" max="11010" width="35.140625" style="46" bestFit="1" customWidth="1"/>
    <col min="11011" max="11020" width="0" style="46" hidden="1" customWidth="1"/>
    <col min="11021" max="11021" width="9.28515625" style="46" bestFit="1" customWidth="1"/>
    <col min="11022" max="11022" width="9" style="46" customWidth="1"/>
    <col min="11023" max="11025" width="10.140625" style="46" bestFit="1" customWidth="1"/>
    <col min="11026" max="11264" width="9.140625" style="46"/>
    <col min="11265" max="11265" width="98.85546875" style="46" customWidth="1"/>
    <col min="11266" max="11266" width="35.140625" style="46" bestFit="1" customWidth="1"/>
    <col min="11267" max="11276" width="0" style="46" hidden="1" customWidth="1"/>
    <col min="11277" max="11277" width="9.28515625" style="46" bestFit="1" customWidth="1"/>
    <col min="11278" max="11278" width="9" style="46" customWidth="1"/>
    <col min="11279" max="11281" width="10.140625" style="46" bestFit="1" customWidth="1"/>
    <col min="11282" max="11520" width="9.140625" style="46"/>
    <col min="11521" max="11521" width="98.85546875" style="46" customWidth="1"/>
    <col min="11522" max="11522" width="35.140625" style="46" bestFit="1" customWidth="1"/>
    <col min="11523" max="11532" width="0" style="46" hidden="1" customWidth="1"/>
    <col min="11533" max="11533" width="9.28515625" style="46" bestFit="1" customWidth="1"/>
    <col min="11534" max="11534" width="9" style="46" customWidth="1"/>
    <col min="11535" max="11537" width="10.140625" style="46" bestFit="1" customWidth="1"/>
    <col min="11538" max="11776" width="9.140625" style="46"/>
    <col min="11777" max="11777" width="98.85546875" style="46" customWidth="1"/>
    <col min="11778" max="11778" width="35.140625" style="46" bestFit="1" customWidth="1"/>
    <col min="11779" max="11788" width="0" style="46" hidden="1" customWidth="1"/>
    <col min="11789" max="11789" width="9.28515625" style="46" bestFit="1" customWidth="1"/>
    <col min="11790" max="11790" width="9" style="46" customWidth="1"/>
    <col min="11791" max="11793" width="10.140625" style="46" bestFit="1" customWidth="1"/>
    <col min="11794" max="12032" width="9.140625" style="46"/>
    <col min="12033" max="12033" width="98.85546875" style="46" customWidth="1"/>
    <col min="12034" max="12034" width="35.140625" style="46" bestFit="1" customWidth="1"/>
    <col min="12035" max="12044" width="0" style="46" hidden="1" customWidth="1"/>
    <col min="12045" max="12045" width="9.28515625" style="46" bestFit="1" customWidth="1"/>
    <col min="12046" max="12046" width="9" style="46" customWidth="1"/>
    <col min="12047" max="12049" width="10.140625" style="46" bestFit="1" customWidth="1"/>
    <col min="12050" max="12288" width="9.140625" style="46"/>
    <col min="12289" max="12289" width="98.85546875" style="46" customWidth="1"/>
    <col min="12290" max="12290" width="35.140625" style="46" bestFit="1" customWidth="1"/>
    <col min="12291" max="12300" width="0" style="46" hidden="1" customWidth="1"/>
    <col min="12301" max="12301" width="9.28515625" style="46" bestFit="1" customWidth="1"/>
    <col min="12302" max="12302" width="9" style="46" customWidth="1"/>
    <col min="12303" max="12305" width="10.140625" style="46" bestFit="1" customWidth="1"/>
    <col min="12306" max="12544" width="9.140625" style="46"/>
    <col min="12545" max="12545" width="98.85546875" style="46" customWidth="1"/>
    <col min="12546" max="12546" width="35.140625" style="46" bestFit="1" customWidth="1"/>
    <col min="12547" max="12556" width="0" style="46" hidden="1" customWidth="1"/>
    <col min="12557" max="12557" width="9.28515625" style="46" bestFit="1" customWidth="1"/>
    <col min="12558" max="12558" width="9" style="46" customWidth="1"/>
    <col min="12559" max="12561" width="10.140625" style="46" bestFit="1" customWidth="1"/>
    <col min="12562" max="12800" width="9.140625" style="46"/>
    <col min="12801" max="12801" width="98.85546875" style="46" customWidth="1"/>
    <col min="12802" max="12802" width="35.140625" style="46" bestFit="1" customWidth="1"/>
    <col min="12803" max="12812" width="0" style="46" hidden="1" customWidth="1"/>
    <col min="12813" max="12813" width="9.28515625" style="46" bestFit="1" customWidth="1"/>
    <col min="12814" max="12814" width="9" style="46" customWidth="1"/>
    <col min="12815" max="12817" width="10.140625" style="46" bestFit="1" customWidth="1"/>
    <col min="12818" max="13056" width="9.140625" style="46"/>
    <col min="13057" max="13057" width="98.85546875" style="46" customWidth="1"/>
    <col min="13058" max="13058" width="35.140625" style="46" bestFit="1" customWidth="1"/>
    <col min="13059" max="13068" width="0" style="46" hidden="1" customWidth="1"/>
    <col min="13069" max="13069" width="9.28515625" style="46" bestFit="1" customWidth="1"/>
    <col min="13070" max="13070" width="9" style="46" customWidth="1"/>
    <col min="13071" max="13073" width="10.140625" style="46" bestFit="1" customWidth="1"/>
    <col min="13074" max="13312" width="9.140625" style="46"/>
    <col min="13313" max="13313" width="98.85546875" style="46" customWidth="1"/>
    <col min="13314" max="13314" width="35.140625" style="46" bestFit="1" customWidth="1"/>
    <col min="13315" max="13324" width="0" style="46" hidden="1" customWidth="1"/>
    <col min="13325" max="13325" width="9.28515625" style="46" bestFit="1" customWidth="1"/>
    <col min="13326" max="13326" width="9" style="46" customWidth="1"/>
    <col min="13327" max="13329" width="10.140625" style="46" bestFit="1" customWidth="1"/>
    <col min="13330" max="13568" width="9.140625" style="46"/>
    <col min="13569" max="13569" width="98.85546875" style="46" customWidth="1"/>
    <col min="13570" max="13570" width="35.140625" style="46" bestFit="1" customWidth="1"/>
    <col min="13571" max="13580" width="0" style="46" hidden="1" customWidth="1"/>
    <col min="13581" max="13581" width="9.28515625" style="46" bestFit="1" customWidth="1"/>
    <col min="13582" max="13582" width="9" style="46" customWidth="1"/>
    <col min="13583" max="13585" width="10.140625" style="46" bestFit="1" customWidth="1"/>
    <col min="13586" max="13824" width="9.140625" style="46"/>
    <col min="13825" max="13825" width="98.85546875" style="46" customWidth="1"/>
    <col min="13826" max="13826" width="35.140625" style="46" bestFit="1" customWidth="1"/>
    <col min="13827" max="13836" width="0" style="46" hidden="1" customWidth="1"/>
    <col min="13837" max="13837" width="9.28515625" style="46" bestFit="1" customWidth="1"/>
    <col min="13838" max="13838" width="9" style="46" customWidth="1"/>
    <col min="13839" max="13841" width="10.140625" style="46" bestFit="1" customWidth="1"/>
    <col min="13842" max="14080" width="9.140625" style="46"/>
    <col min="14081" max="14081" width="98.85546875" style="46" customWidth="1"/>
    <col min="14082" max="14082" width="35.140625" style="46" bestFit="1" customWidth="1"/>
    <col min="14083" max="14092" width="0" style="46" hidden="1" customWidth="1"/>
    <col min="14093" max="14093" width="9.28515625" style="46" bestFit="1" customWidth="1"/>
    <col min="14094" max="14094" width="9" style="46" customWidth="1"/>
    <col min="14095" max="14097" width="10.140625" style="46" bestFit="1" customWidth="1"/>
    <col min="14098" max="14336" width="9.140625" style="46"/>
    <col min="14337" max="14337" width="98.85546875" style="46" customWidth="1"/>
    <col min="14338" max="14338" width="35.140625" style="46" bestFit="1" customWidth="1"/>
    <col min="14339" max="14348" width="0" style="46" hidden="1" customWidth="1"/>
    <col min="14349" max="14349" width="9.28515625" style="46" bestFit="1" customWidth="1"/>
    <col min="14350" max="14350" width="9" style="46" customWidth="1"/>
    <col min="14351" max="14353" width="10.140625" style="46" bestFit="1" customWidth="1"/>
    <col min="14354" max="14592" width="9.140625" style="46"/>
    <col min="14593" max="14593" width="98.85546875" style="46" customWidth="1"/>
    <col min="14594" max="14594" width="35.140625" style="46" bestFit="1" customWidth="1"/>
    <col min="14595" max="14604" width="0" style="46" hidden="1" customWidth="1"/>
    <col min="14605" max="14605" width="9.28515625" style="46" bestFit="1" customWidth="1"/>
    <col min="14606" max="14606" width="9" style="46" customWidth="1"/>
    <col min="14607" max="14609" width="10.140625" style="46" bestFit="1" customWidth="1"/>
    <col min="14610" max="14848" width="9.140625" style="46"/>
    <col min="14849" max="14849" width="98.85546875" style="46" customWidth="1"/>
    <col min="14850" max="14850" width="35.140625" style="46" bestFit="1" customWidth="1"/>
    <col min="14851" max="14860" width="0" style="46" hidden="1" customWidth="1"/>
    <col min="14861" max="14861" width="9.28515625" style="46" bestFit="1" customWidth="1"/>
    <col min="14862" max="14862" width="9" style="46" customWidth="1"/>
    <col min="14863" max="14865" width="10.140625" style="46" bestFit="1" customWidth="1"/>
    <col min="14866" max="15104" width="9.140625" style="46"/>
    <col min="15105" max="15105" width="98.85546875" style="46" customWidth="1"/>
    <col min="15106" max="15106" width="35.140625" style="46" bestFit="1" customWidth="1"/>
    <col min="15107" max="15116" width="0" style="46" hidden="1" customWidth="1"/>
    <col min="15117" max="15117" width="9.28515625" style="46" bestFit="1" customWidth="1"/>
    <col min="15118" max="15118" width="9" style="46" customWidth="1"/>
    <col min="15119" max="15121" width="10.140625" style="46" bestFit="1" customWidth="1"/>
    <col min="15122" max="15360" width="9.140625" style="46"/>
    <col min="15361" max="15361" width="98.85546875" style="46" customWidth="1"/>
    <col min="15362" max="15362" width="35.140625" style="46" bestFit="1" customWidth="1"/>
    <col min="15363" max="15372" width="0" style="46" hidden="1" customWidth="1"/>
    <col min="15373" max="15373" width="9.28515625" style="46" bestFit="1" customWidth="1"/>
    <col min="15374" max="15374" width="9" style="46" customWidth="1"/>
    <col min="15375" max="15377" width="10.140625" style="46" bestFit="1" customWidth="1"/>
    <col min="15378" max="15616" width="9.140625" style="46"/>
    <col min="15617" max="15617" width="98.85546875" style="46" customWidth="1"/>
    <col min="15618" max="15618" width="35.140625" style="46" bestFit="1" customWidth="1"/>
    <col min="15619" max="15628" width="0" style="46" hidden="1" customWidth="1"/>
    <col min="15629" max="15629" width="9.28515625" style="46" bestFit="1" customWidth="1"/>
    <col min="15630" max="15630" width="9" style="46" customWidth="1"/>
    <col min="15631" max="15633" width="10.140625" style="46" bestFit="1" customWidth="1"/>
    <col min="15634" max="15872" width="9.140625" style="46"/>
    <col min="15873" max="15873" width="98.85546875" style="46" customWidth="1"/>
    <col min="15874" max="15874" width="35.140625" style="46" bestFit="1" customWidth="1"/>
    <col min="15875" max="15884" width="0" style="46" hidden="1" customWidth="1"/>
    <col min="15885" max="15885" width="9.28515625" style="46" bestFit="1" customWidth="1"/>
    <col min="15886" max="15886" width="9" style="46" customWidth="1"/>
    <col min="15887" max="15889" width="10.140625" style="46" bestFit="1" customWidth="1"/>
    <col min="15890" max="16128" width="9.140625" style="46"/>
    <col min="16129" max="16129" width="98.85546875" style="46" customWidth="1"/>
    <col min="16130" max="16130" width="35.140625" style="46" bestFit="1" customWidth="1"/>
    <col min="16131" max="16140" width="0" style="46" hidden="1" customWidth="1"/>
    <col min="16141" max="16141" width="9.28515625" style="46" bestFit="1" customWidth="1"/>
    <col min="16142" max="16142" width="9" style="46" customWidth="1"/>
    <col min="16143" max="16145" width="10.140625" style="46" bestFit="1" customWidth="1"/>
    <col min="16146" max="16384" width="9.140625" style="46"/>
  </cols>
  <sheetData>
    <row r="1" spans="1:17">
      <c r="A1" s="45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360"/>
      <c r="P1" s="360"/>
      <c r="Q1" s="360"/>
    </row>
    <row r="2" spans="1:17" ht="12.75" customHeigh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125" customFormat="1" ht="32.25" customHeight="1" thickBot="1">
      <c r="A3" s="361" t="s">
        <v>478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</row>
    <row r="4" spans="1:17" s="125" customFormat="1">
      <c r="A4" s="362" t="s">
        <v>213</v>
      </c>
      <c r="B4" s="364" t="s">
        <v>214</v>
      </c>
      <c r="C4" s="281" t="s">
        <v>215</v>
      </c>
      <c r="D4" s="281" t="s">
        <v>215</v>
      </c>
      <c r="E4" s="281" t="s">
        <v>215</v>
      </c>
      <c r="F4" s="281" t="s">
        <v>215</v>
      </c>
      <c r="G4" s="281" t="s">
        <v>215</v>
      </c>
      <c r="H4" s="281" t="s">
        <v>215</v>
      </c>
      <c r="I4" s="281" t="s">
        <v>215</v>
      </c>
      <c r="J4" s="281" t="s">
        <v>215</v>
      </c>
      <c r="K4" s="281" t="s">
        <v>215</v>
      </c>
      <c r="L4" s="281" t="s">
        <v>215</v>
      </c>
      <c r="M4" s="281" t="s">
        <v>215</v>
      </c>
      <c r="N4" s="281" t="s">
        <v>216</v>
      </c>
      <c r="O4" s="364" t="s">
        <v>217</v>
      </c>
      <c r="P4" s="366"/>
      <c r="Q4" s="367"/>
    </row>
    <row r="5" spans="1:17" s="125" customFormat="1" ht="18.75" customHeight="1">
      <c r="A5" s="363"/>
      <c r="B5" s="365"/>
      <c r="C5" s="126" t="s">
        <v>218</v>
      </c>
      <c r="D5" s="126" t="s">
        <v>219</v>
      </c>
      <c r="E5" s="126" t="s">
        <v>220</v>
      </c>
      <c r="F5" s="126" t="s">
        <v>221</v>
      </c>
      <c r="G5" s="126" t="s">
        <v>222</v>
      </c>
      <c r="H5" s="126" t="s">
        <v>223</v>
      </c>
      <c r="I5" s="126" t="s">
        <v>224</v>
      </c>
      <c r="J5" s="126" t="s">
        <v>225</v>
      </c>
      <c r="K5" s="126" t="s">
        <v>226</v>
      </c>
      <c r="L5" s="126">
        <v>2017</v>
      </c>
      <c r="M5" s="126" t="s">
        <v>227</v>
      </c>
      <c r="N5" s="126" t="s">
        <v>311</v>
      </c>
      <c r="O5" s="126" t="s">
        <v>374</v>
      </c>
      <c r="P5" s="126" t="s">
        <v>444</v>
      </c>
      <c r="Q5" s="49" t="s">
        <v>479</v>
      </c>
    </row>
    <row r="6" spans="1:17" s="125" customFormat="1" ht="16.5" customHeight="1">
      <c r="A6" s="357" t="s">
        <v>398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</row>
    <row r="7" spans="1:17" s="133" customFormat="1" ht="15">
      <c r="A7" s="127" t="s">
        <v>228</v>
      </c>
      <c r="B7" s="128" t="s">
        <v>229</v>
      </c>
      <c r="C7" s="129">
        <v>6.0190000000000001</v>
      </c>
      <c r="D7" s="130">
        <v>5.8970000000000002</v>
      </c>
      <c r="E7" s="130">
        <v>5.2770000000000001</v>
      </c>
      <c r="F7" s="130">
        <v>5.3520000000000003</v>
      </c>
      <c r="G7" s="130">
        <v>5.141</v>
      </c>
      <c r="H7" s="131">
        <v>5.1970000000000001</v>
      </c>
      <c r="I7" s="131">
        <v>5.1219999999999999</v>
      </c>
      <c r="J7" s="131">
        <v>4.8140000000000001</v>
      </c>
      <c r="K7" s="131">
        <v>4.6920000000000002</v>
      </c>
      <c r="L7" s="131">
        <v>4.734</v>
      </c>
      <c r="M7" s="131">
        <v>5.0380000000000003</v>
      </c>
      <c r="N7" s="131">
        <v>5.0999999999999996</v>
      </c>
      <c r="O7" s="131">
        <v>5.15</v>
      </c>
      <c r="P7" s="131">
        <v>5.2</v>
      </c>
      <c r="Q7" s="132">
        <v>5.25</v>
      </c>
    </row>
    <row r="8" spans="1:17" s="133" customFormat="1" ht="15">
      <c r="A8" s="368" t="s">
        <v>230</v>
      </c>
      <c r="B8" s="369"/>
      <c r="C8" s="134">
        <f>SUM((C7/(2202+3923)*100))</f>
        <v>9.8269387755102036E-2</v>
      </c>
      <c r="D8" s="134">
        <f>SUM(D7/C7*100)</f>
        <v>97.973085230104672</v>
      </c>
      <c r="E8" s="135">
        <f>SUM((E7/D7)*100)</f>
        <v>89.486179413260984</v>
      </c>
      <c r="F8" s="135">
        <f>SUM((F7/E7)*100)</f>
        <v>101.42126208072769</v>
      </c>
      <c r="G8" s="135">
        <f t="shared" ref="G8:O8" si="0">SUM(G7/F7*100)</f>
        <v>96.057548579970103</v>
      </c>
      <c r="H8" s="135">
        <f t="shared" si="0"/>
        <v>101.08928224080917</v>
      </c>
      <c r="I8" s="135">
        <f t="shared" si="0"/>
        <v>98.556859726765438</v>
      </c>
      <c r="J8" s="136">
        <f t="shared" si="0"/>
        <v>93.986723935962516</v>
      </c>
      <c r="K8" s="136">
        <f t="shared" si="0"/>
        <v>97.465724968840888</v>
      </c>
      <c r="L8" s="136">
        <f t="shared" si="0"/>
        <v>100.89514066496163</v>
      </c>
      <c r="M8" s="136">
        <f t="shared" si="0"/>
        <v>106.42163075623152</v>
      </c>
      <c r="N8" s="136">
        <f t="shared" si="0"/>
        <v>101.23064708217547</v>
      </c>
      <c r="O8" s="136">
        <f t="shared" si="0"/>
        <v>100.98039215686276</v>
      </c>
      <c r="P8" s="136">
        <f>SUM((P7/O7)*100)</f>
        <v>100.97087378640776</v>
      </c>
      <c r="Q8" s="137">
        <f>SUM((Q7/P7)*100)</f>
        <v>100.96153846153845</v>
      </c>
    </row>
    <row r="9" spans="1:17" s="133" customFormat="1" ht="15">
      <c r="A9" s="127" t="s">
        <v>231</v>
      </c>
      <c r="B9" s="128" t="s">
        <v>229</v>
      </c>
      <c r="C9" s="129">
        <f>492+652+2349</f>
        <v>3493</v>
      </c>
      <c r="D9" s="130">
        <v>3.4350000000000001</v>
      </c>
      <c r="E9" s="130">
        <v>3.258</v>
      </c>
      <c r="F9" s="130">
        <v>3.1680000000000001</v>
      </c>
      <c r="G9" s="130">
        <v>3.0579999999999998</v>
      </c>
      <c r="H9" s="131">
        <v>3.1930000000000001</v>
      </c>
      <c r="I9" s="131">
        <v>3.2</v>
      </c>
      <c r="J9" s="131">
        <f>2.815+0.155</f>
        <v>2.9699999999999998</v>
      </c>
      <c r="K9" s="131">
        <v>2.86</v>
      </c>
      <c r="L9" s="131">
        <v>3.0390000000000001</v>
      </c>
      <c r="M9" s="131">
        <v>3.2759999999999998</v>
      </c>
      <c r="N9" s="131">
        <v>3.3</v>
      </c>
      <c r="O9" s="131">
        <v>3.35</v>
      </c>
      <c r="P9" s="131">
        <v>3.35</v>
      </c>
      <c r="Q9" s="132">
        <v>3.4</v>
      </c>
    </row>
    <row r="10" spans="1:17" s="133" customFormat="1" ht="15">
      <c r="A10" s="368" t="s">
        <v>230</v>
      </c>
      <c r="B10" s="369"/>
      <c r="C10" s="135">
        <f>SUM(C9/3559*100)</f>
        <v>98.14554650182636</v>
      </c>
      <c r="D10" s="135">
        <f>SUM(D9/C9*100)</f>
        <v>9.8339536215287709E-2</v>
      </c>
      <c r="E10" s="135">
        <f>SUM(E9/D9*100)</f>
        <v>94.8471615720524</v>
      </c>
      <c r="F10" s="135">
        <f>SUM(F9/E9*100)</f>
        <v>97.237569060773481</v>
      </c>
      <c r="G10" s="135">
        <f t="shared" ref="G10:O10" si="1">SUM(G9/F9*100)</f>
        <v>96.527777777777771</v>
      </c>
      <c r="H10" s="135">
        <f t="shared" si="1"/>
        <v>104.41465009810334</v>
      </c>
      <c r="I10" s="135">
        <f t="shared" si="1"/>
        <v>100.21922956467273</v>
      </c>
      <c r="J10" s="136">
        <f t="shared" si="1"/>
        <v>92.812499999999986</v>
      </c>
      <c r="K10" s="136">
        <f t="shared" si="1"/>
        <v>96.296296296296305</v>
      </c>
      <c r="L10" s="136">
        <f t="shared" si="1"/>
        <v>106.25874125874127</v>
      </c>
      <c r="M10" s="136">
        <f t="shared" si="1"/>
        <v>107.79861796643631</v>
      </c>
      <c r="N10" s="136">
        <f t="shared" si="1"/>
        <v>100.73260073260073</v>
      </c>
      <c r="O10" s="136">
        <f t="shared" si="1"/>
        <v>101.51515151515152</v>
      </c>
      <c r="P10" s="136">
        <f>SUM(P9/O9*100)</f>
        <v>100</v>
      </c>
      <c r="Q10" s="137">
        <f>SUM(Q9/P9*100)</f>
        <v>101.49253731343283</v>
      </c>
    </row>
    <row r="11" spans="1:17" s="133" customFormat="1" ht="15">
      <c r="A11" s="127" t="s">
        <v>232</v>
      </c>
      <c r="B11" s="128" t="s">
        <v>229</v>
      </c>
      <c r="C11" s="129">
        <f t="shared" ref="C11:Q11" si="2">C7-C9</f>
        <v>-3486.9810000000002</v>
      </c>
      <c r="D11" s="130">
        <f t="shared" si="2"/>
        <v>2.4620000000000002</v>
      </c>
      <c r="E11" s="130">
        <f>E7-E9</f>
        <v>2.0190000000000001</v>
      </c>
      <c r="F11" s="130">
        <f>F7-F9</f>
        <v>2.1840000000000002</v>
      </c>
      <c r="G11" s="130">
        <f t="shared" si="2"/>
        <v>2.0830000000000002</v>
      </c>
      <c r="H11" s="131">
        <f>H7-H9+0.01</f>
        <v>2.0139999999999998</v>
      </c>
      <c r="I11" s="131">
        <f>I7-I9</f>
        <v>1.9219999999999997</v>
      </c>
      <c r="J11" s="131">
        <f t="shared" si="2"/>
        <v>1.8440000000000003</v>
      </c>
      <c r="K11" s="131">
        <f t="shared" si="2"/>
        <v>1.8320000000000003</v>
      </c>
      <c r="L11" s="131">
        <f>L7-L9</f>
        <v>1.6949999999999998</v>
      </c>
      <c r="M11" s="131">
        <f>M7-M9</f>
        <v>1.7620000000000005</v>
      </c>
      <c r="N11" s="131">
        <f>N7-N9</f>
        <v>1.7999999999999998</v>
      </c>
      <c r="O11" s="131">
        <f t="shared" si="2"/>
        <v>1.8000000000000003</v>
      </c>
      <c r="P11" s="131">
        <f t="shared" si="2"/>
        <v>1.85</v>
      </c>
      <c r="Q11" s="132">
        <f t="shared" si="2"/>
        <v>1.85</v>
      </c>
    </row>
    <row r="12" spans="1:17" s="125" customFormat="1" ht="16.5" customHeight="1">
      <c r="A12" s="357" t="s">
        <v>233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9"/>
    </row>
    <row r="13" spans="1:17" s="133" customFormat="1" ht="15">
      <c r="A13" s="370" t="s">
        <v>399</v>
      </c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3"/>
    </row>
    <row r="14" spans="1:17" s="133" customFormat="1" ht="15">
      <c r="A14" s="138" t="s">
        <v>234</v>
      </c>
      <c r="B14" s="139" t="s">
        <v>235</v>
      </c>
      <c r="C14" s="140">
        <f>182.842+293.508+176.248+7.989+380.445+34.892+62.635+2.06</f>
        <v>1140.6189999999999</v>
      </c>
      <c r="D14" s="140">
        <v>1879.3</v>
      </c>
      <c r="E14" s="140">
        <f>390.6+793.14*1000*1700/1000000</f>
        <v>1738.9380000000001</v>
      </c>
      <c r="F14" s="140">
        <f>413+413+837.79*1000*1700/1000000</f>
        <v>2250.2429999999999</v>
      </c>
      <c r="G14" s="141">
        <f>617.4+607.4+1089.505*1000*1600/1000000</f>
        <v>2968.0079999999998</v>
      </c>
      <c r="H14" s="141">
        <f>655.1+381+1072*1000*1400/1000000</f>
        <v>2536.8999999999996</v>
      </c>
      <c r="I14" s="141">
        <f>668.3+368+1047.144*1000*1729/1000000</f>
        <v>2846.811976</v>
      </c>
      <c r="J14" s="141">
        <f>680.4+433.3+1007.06*1000*2329.75/1000000</f>
        <v>3459.8980350000002</v>
      </c>
      <c r="K14" s="141">
        <f>700+492.8+202.7+985.788*1000*2260.43/1000000</f>
        <v>3623.8047688399997</v>
      </c>
      <c r="L14" s="142">
        <f>526.814+370.2+178.597+1063.659*1000*2366/1000000</f>
        <v>3592.2281939999998</v>
      </c>
      <c r="M14" s="142">
        <f>536.39+382.7+162.643+1149.95*1000*2763/1000000</f>
        <v>4259.0448500000002</v>
      </c>
      <c r="N14" s="142">
        <f>641.85+400+234.438+1050*1000*3005/1000000</f>
        <v>4431.5380000000005</v>
      </c>
      <c r="O14" s="142">
        <f>683.06+420+230.218+1100*1000*3100/1000000</f>
        <v>4743.2780000000002</v>
      </c>
      <c r="P14" s="142">
        <f>(680+420+230)*101%+(1100*1000*3250/1000000)</f>
        <v>4918.3</v>
      </c>
      <c r="Q14" s="142">
        <f>(680+420+230)*105%+(1100*1000*3400/1000000)</f>
        <v>5136.5</v>
      </c>
    </row>
    <row r="15" spans="1:17" s="133" customFormat="1" ht="15">
      <c r="A15" s="368" t="s">
        <v>236</v>
      </c>
      <c r="B15" s="369"/>
      <c r="C15" s="143"/>
      <c r="D15" s="143">
        <f t="shared" ref="D15:Q15" si="3">D14/C14*100</f>
        <v>164.76141463538659</v>
      </c>
      <c r="E15" s="143">
        <f t="shared" si="3"/>
        <v>92.53115521736818</v>
      </c>
      <c r="F15" s="143">
        <f t="shared" si="3"/>
        <v>129.40329097414627</v>
      </c>
      <c r="G15" s="143">
        <f t="shared" si="3"/>
        <v>131.89722176671586</v>
      </c>
      <c r="H15" s="143">
        <f t="shared" si="3"/>
        <v>85.47483699504852</v>
      </c>
      <c r="I15" s="143">
        <f t="shared" si="3"/>
        <v>112.21616839449725</v>
      </c>
      <c r="J15" s="144">
        <f t="shared" si="3"/>
        <v>121.53588168690493</v>
      </c>
      <c r="K15" s="144">
        <f t="shared" si="3"/>
        <v>104.73732844673268</v>
      </c>
      <c r="L15" s="144">
        <f t="shared" si="3"/>
        <v>99.128634767757987</v>
      </c>
      <c r="M15" s="144">
        <f t="shared" si="3"/>
        <v>118.56275882233112</v>
      </c>
      <c r="N15" s="144">
        <f t="shared" si="3"/>
        <v>104.05004305131938</v>
      </c>
      <c r="O15" s="144">
        <f t="shared" si="3"/>
        <v>107.03457806296595</v>
      </c>
      <c r="P15" s="144">
        <f t="shared" si="3"/>
        <v>103.68989546891412</v>
      </c>
      <c r="Q15" s="145">
        <f t="shared" si="3"/>
        <v>104.43649228391925</v>
      </c>
    </row>
    <row r="16" spans="1:17" s="133" customFormat="1" ht="15">
      <c r="A16" s="370" t="s">
        <v>238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3"/>
    </row>
    <row r="17" spans="1:17" s="133" customFormat="1" ht="15">
      <c r="A17" s="370" t="s">
        <v>400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3"/>
    </row>
    <row r="18" spans="1:17" s="133" customFormat="1" ht="15">
      <c r="A18" s="127" t="s">
        <v>234</v>
      </c>
      <c r="B18" s="139" t="s">
        <v>239</v>
      </c>
      <c r="C18" s="146">
        <f>293.508+34.892</f>
        <v>328.4</v>
      </c>
      <c r="D18" s="146">
        <v>409.4</v>
      </c>
      <c r="E18" s="146">
        <f>390.6</f>
        <v>390.6</v>
      </c>
      <c r="F18" s="146">
        <f>413+53.4</f>
        <v>466.4</v>
      </c>
      <c r="G18" s="146">
        <f>617.4+94.6</f>
        <v>712</v>
      </c>
      <c r="H18" s="146">
        <f>655.1+71</f>
        <v>726.1</v>
      </c>
      <c r="I18" s="146">
        <v>735.3</v>
      </c>
      <c r="J18" s="146">
        <v>785</v>
      </c>
      <c r="K18" s="146">
        <f>391+121.3</f>
        <v>512.29999999999995</v>
      </c>
      <c r="L18" s="146">
        <f>180.73+33.7</f>
        <v>214.43</v>
      </c>
      <c r="M18" s="146">
        <f>193.59+36.9</f>
        <v>230.49</v>
      </c>
      <c r="N18" s="146">
        <f>232.97+38.9</f>
        <v>271.87</v>
      </c>
      <c r="O18" s="146">
        <f>247.5+40.5</f>
        <v>288</v>
      </c>
      <c r="P18" s="146">
        <v>300</v>
      </c>
      <c r="Q18" s="147">
        <v>310</v>
      </c>
    </row>
    <row r="19" spans="1:17" s="133" customFormat="1" ht="15">
      <c r="A19" s="368" t="s">
        <v>236</v>
      </c>
      <c r="B19" s="369"/>
      <c r="C19" s="148"/>
      <c r="D19" s="149">
        <f>SUM((D18/C18)*100)</f>
        <v>124.66504263093788</v>
      </c>
      <c r="E19" s="149">
        <f>SUM((E18/D18)*100)</f>
        <v>95.407914020517836</v>
      </c>
      <c r="F19" s="149">
        <f>SUM((F18/E18)*100)</f>
        <v>119.40604198668714</v>
      </c>
      <c r="G19" s="149">
        <f>SUM((G18/F18)*100)</f>
        <v>152.65866209262435</v>
      </c>
      <c r="H19" s="149">
        <f>SUM((H18/G18)*100)</f>
        <v>101.98033707865169</v>
      </c>
      <c r="I19" s="149">
        <f>SUM((I18/G18)*100)</f>
        <v>103.27247191011236</v>
      </c>
      <c r="J19" s="149">
        <f t="shared" ref="J19:Q19" si="4">SUM((J18/I18)*100)</f>
        <v>106.7591459268326</v>
      </c>
      <c r="K19" s="149">
        <f t="shared" si="4"/>
        <v>65.261146496815286</v>
      </c>
      <c r="L19" s="149">
        <f t="shared" si="4"/>
        <v>41.856334179191883</v>
      </c>
      <c r="M19" s="149">
        <f t="shared" si="4"/>
        <v>107.48962365340671</v>
      </c>
      <c r="N19" s="149">
        <f t="shared" si="4"/>
        <v>117.95305653173673</v>
      </c>
      <c r="O19" s="149">
        <f t="shared" si="4"/>
        <v>105.93298267554346</v>
      </c>
      <c r="P19" s="149">
        <f t="shared" si="4"/>
        <v>104.16666666666667</v>
      </c>
      <c r="Q19" s="150">
        <f t="shared" si="4"/>
        <v>103.33333333333334</v>
      </c>
    </row>
    <row r="20" spans="1:17" s="133" customFormat="1" ht="15">
      <c r="A20" s="370" t="s">
        <v>241</v>
      </c>
      <c r="B20" s="371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3"/>
    </row>
    <row r="21" spans="1:17" s="133" customFormat="1" ht="15">
      <c r="A21" s="151" t="s">
        <v>242</v>
      </c>
      <c r="B21" s="152" t="s">
        <v>243</v>
      </c>
      <c r="C21" s="153">
        <v>57967</v>
      </c>
      <c r="D21" s="153">
        <v>66121.3</v>
      </c>
      <c r="E21" s="153">
        <v>54347</v>
      </c>
      <c r="F21" s="153">
        <f>10632.264+49729</f>
        <v>60361.263999999996</v>
      </c>
      <c r="G21" s="153">
        <f>4392.586+42492</f>
        <v>46884.586000000003</v>
      </c>
      <c r="H21" s="154">
        <f>51433+9743.1</f>
        <v>61176.1</v>
      </c>
      <c r="I21" s="154">
        <v>58285.55</v>
      </c>
      <c r="J21" s="154">
        <v>55581.7</v>
      </c>
      <c r="K21" s="154">
        <v>49971.5</v>
      </c>
      <c r="L21" s="155">
        <v>50900.7</v>
      </c>
      <c r="M21" s="155">
        <v>51103</v>
      </c>
      <c r="N21" s="155">
        <v>57466.3</v>
      </c>
      <c r="O21" s="155">
        <v>56361.1</v>
      </c>
      <c r="P21" s="155">
        <v>56924.71</v>
      </c>
      <c r="Q21" s="156">
        <v>57493.96</v>
      </c>
    </row>
    <row r="22" spans="1:17" s="133" customFormat="1" ht="15">
      <c r="A22" s="374" t="s">
        <v>244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3"/>
    </row>
    <row r="23" spans="1:17" s="133" customFormat="1" ht="15">
      <c r="A23" s="151" t="s">
        <v>401</v>
      </c>
      <c r="B23" s="157" t="s">
        <v>243</v>
      </c>
      <c r="C23" s="153">
        <f>1429.2+47882.6</f>
        <v>49311.799999999996</v>
      </c>
      <c r="D23" s="153">
        <v>51481.7</v>
      </c>
      <c r="E23" s="153">
        <v>46850</v>
      </c>
      <c r="F23" s="153">
        <f>536.883+42338</f>
        <v>42874.883000000002</v>
      </c>
      <c r="G23" s="153">
        <f>876.06+35020</f>
        <v>35896.06</v>
      </c>
      <c r="H23" s="154">
        <f>28334</f>
        <v>28334</v>
      </c>
      <c r="I23" s="154">
        <v>41104</v>
      </c>
      <c r="J23" s="154">
        <v>41845.9</v>
      </c>
      <c r="K23" s="154">
        <v>35997.5</v>
      </c>
      <c r="L23" s="154">
        <v>39766.5</v>
      </c>
      <c r="M23" s="154">
        <v>36910</v>
      </c>
      <c r="N23" s="154">
        <v>41733</v>
      </c>
      <c r="O23" s="154">
        <v>42050</v>
      </c>
      <c r="P23" s="154">
        <v>42470.5</v>
      </c>
      <c r="Q23" s="158">
        <v>42895.21</v>
      </c>
    </row>
    <row r="24" spans="1:17" s="133" customFormat="1" ht="15">
      <c r="A24" s="159" t="s">
        <v>402</v>
      </c>
      <c r="B24" s="157" t="s">
        <v>243</v>
      </c>
      <c r="C24" s="153">
        <f>63.6+74.94</f>
        <v>138.54</v>
      </c>
      <c r="D24" s="153">
        <v>168.1</v>
      </c>
      <c r="E24" s="153">
        <v>105</v>
      </c>
      <c r="F24" s="153">
        <f>61.894+92</f>
        <v>153.89400000000001</v>
      </c>
      <c r="G24" s="153">
        <f>48.665+86</f>
        <v>134.66499999999999</v>
      </c>
      <c r="H24" s="154">
        <f>154+61.4</f>
        <v>215.4</v>
      </c>
      <c r="I24" s="154">
        <v>184.3</v>
      </c>
      <c r="J24" s="154">
        <v>2130.8000000000002</v>
      </c>
      <c r="K24" s="154">
        <v>2212</v>
      </c>
      <c r="L24" s="154">
        <v>279.60000000000002</v>
      </c>
      <c r="M24" s="154">
        <v>496.7</v>
      </c>
      <c r="N24" s="154">
        <v>508.5</v>
      </c>
      <c r="O24" s="154">
        <v>491.4</v>
      </c>
      <c r="P24" s="154">
        <v>496.31</v>
      </c>
      <c r="Q24" s="158">
        <v>501.28</v>
      </c>
    </row>
    <row r="25" spans="1:17" s="133" customFormat="1" ht="15">
      <c r="A25" s="151" t="s">
        <v>403</v>
      </c>
      <c r="B25" s="157" t="s">
        <v>243</v>
      </c>
      <c r="C25" s="153">
        <f>2314.7+2500.53</f>
        <v>4815.2299999999996</v>
      </c>
      <c r="D25" s="153">
        <v>4811.7</v>
      </c>
      <c r="E25" s="153">
        <v>3176</v>
      </c>
      <c r="F25" s="153">
        <f>1760.159+3386</f>
        <v>5146.1589999999997</v>
      </c>
      <c r="G25" s="153">
        <f>2081.551+3283</f>
        <v>5364.5509999999995</v>
      </c>
      <c r="H25" s="154">
        <f>3515+1941.2</f>
        <v>5456.2</v>
      </c>
      <c r="I25" s="154">
        <v>5248.3</v>
      </c>
      <c r="J25" s="154">
        <v>4733.8</v>
      </c>
      <c r="K25" s="154">
        <v>5132.1000000000004</v>
      </c>
      <c r="L25" s="154">
        <v>4829.8</v>
      </c>
      <c r="M25" s="154">
        <v>4653.78</v>
      </c>
      <c r="N25" s="154">
        <v>4541.8999999999996</v>
      </c>
      <c r="O25" s="154">
        <v>4617.8100000000004</v>
      </c>
      <c r="P25" s="154">
        <v>4663.9799999999996</v>
      </c>
      <c r="Q25" s="158">
        <v>4710.62</v>
      </c>
    </row>
    <row r="26" spans="1:17" s="133" customFormat="1" ht="15">
      <c r="A26" s="370" t="s">
        <v>404</v>
      </c>
      <c r="B26" s="371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3"/>
    </row>
    <row r="27" spans="1:17" s="133" customFormat="1" ht="15">
      <c r="A27" s="127" t="s">
        <v>234</v>
      </c>
      <c r="B27" s="139" t="s">
        <v>239</v>
      </c>
      <c r="C27" s="160" t="e">
        <f>C30+C32+#REF!</f>
        <v>#REF!</v>
      </c>
      <c r="D27" s="160" t="e">
        <f>D30+D32+#REF!</f>
        <v>#REF!</v>
      </c>
      <c r="E27" s="160" t="e">
        <f>E30+E32+#REF!</f>
        <v>#REF!</v>
      </c>
      <c r="F27" s="160" t="e">
        <f>F30+F32+#REF!</f>
        <v>#REF!</v>
      </c>
      <c r="G27" s="160" t="e">
        <f>G30+G32+#REF!</f>
        <v>#REF!</v>
      </c>
      <c r="H27" s="160" t="e">
        <f>H30+H32+#REF!</f>
        <v>#REF!</v>
      </c>
      <c r="I27" s="160" t="e">
        <f>I30+I32+#REF!</f>
        <v>#REF!</v>
      </c>
      <c r="J27" s="160" t="e">
        <f>J30+J32+#REF!</f>
        <v>#REF!</v>
      </c>
      <c r="K27" s="160">
        <f t="shared" ref="K27:Q27" si="5">K30+K32</f>
        <v>102.4</v>
      </c>
      <c r="L27" s="160">
        <f t="shared" si="5"/>
        <v>112.81</v>
      </c>
      <c r="M27" s="160">
        <f t="shared" si="5"/>
        <v>133.53</v>
      </c>
      <c r="N27" s="160">
        <f t="shared" si="5"/>
        <v>143.34199999999998</v>
      </c>
      <c r="O27" s="160">
        <f t="shared" si="5"/>
        <v>169.95400000000001</v>
      </c>
      <c r="P27" s="160">
        <f t="shared" si="5"/>
        <v>169.95400000000001</v>
      </c>
      <c r="Q27" s="161">
        <f t="shared" si="5"/>
        <v>169.95400000000001</v>
      </c>
    </row>
    <row r="28" spans="1:17" s="133" customFormat="1" ht="15">
      <c r="A28" s="368" t="s">
        <v>236</v>
      </c>
      <c r="B28" s="369"/>
      <c r="C28" s="148"/>
      <c r="D28" s="148" t="e">
        <f t="shared" ref="D28:J28" si="6">SUM(D27/C27*100)</f>
        <v>#REF!</v>
      </c>
      <c r="E28" s="148" t="e">
        <f t="shared" si="6"/>
        <v>#REF!</v>
      </c>
      <c r="F28" s="148" t="e">
        <f t="shared" si="6"/>
        <v>#REF!</v>
      </c>
      <c r="G28" s="148" t="e">
        <f t="shared" si="6"/>
        <v>#REF!</v>
      </c>
      <c r="H28" s="148" t="e">
        <f t="shared" si="6"/>
        <v>#REF!</v>
      </c>
      <c r="I28" s="162" t="e">
        <f t="shared" si="6"/>
        <v>#REF!</v>
      </c>
      <c r="J28" s="162" t="e">
        <f t="shared" si="6"/>
        <v>#REF!</v>
      </c>
      <c r="K28" s="163" t="e">
        <f>SUM((K27/J27)*100)</f>
        <v>#REF!</v>
      </c>
      <c r="L28" s="163">
        <f>SUM((L27/K27)*100)</f>
        <v>110.16601562499999</v>
      </c>
      <c r="M28" s="163">
        <f>SUM((M27/L27)*100)</f>
        <v>118.36716603138019</v>
      </c>
      <c r="N28" s="163">
        <f>SUM((N27/M27)*100)</f>
        <v>107.34816146184376</v>
      </c>
      <c r="O28" s="163">
        <f>SUM((O27/N27)*100)</f>
        <v>118.56538906949814</v>
      </c>
      <c r="P28" s="164">
        <f>SUM(P27/O27*100)</f>
        <v>100</v>
      </c>
      <c r="Q28" s="165">
        <f>SUM(Q27/P27*100)</f>
        <v>100</v>
      </c>
    </row>
    <row r="29" spans="1:17" s="133" customFormat="1" ht="15">
      <c r="A29" s="370" t="s">
        <v>245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3"/>
    </row>
    <row r="30" spans="1:17" s="133" customFormat="1" ht="15">
      <c r="A30" s="166" t="s">
        <v>405</v>
      </c>
      <c r="B30" s="167" t="s">
        <v>239</v>
      </c>
      <c r="C30" s="168">
        <f>3.347+6.669+5.35</f>
        <v>15.366</v>
      </c>
      <c r="D30" s="168">
        <f>11.488+12.184+8.1</f>
        <v>31.771999999999998</v>
      </c>
      <c r="E30" s="168">
        <f>8.945+13.078+20.346</f>
        <v>42.369</v>
      </c>
      <c r="F30" s="168">
        <f>20.038+14.913+23.332</f>
        <v>58.283000000000001</v>
      </c>
      <c r="G30" s="168">
        <f>27.952+6.418+14.505</f>
        <v>48.875000000000007</v>
      </c>
      <c r="H30" s="168">
        <v>50.9</v>
      </c>
      <c r="I30" s="168">
        <v>54.109000000000002</v>
      </c>
      <c r="J30" s="168">
        <v>74.712000000000003</v>
      </c>
      <c r="K30" s="168">
        <v>87</v>
      </c>
      <c r="L30" s="168">
        <v>87.182000000000002</v>
      </c>
      <c r="M30" s="168">
        <v>106.435</v>
      </c>
      <c r="N30" s="168">
        <v>113.342</v>
      </c>
      <c r="O30" s="168">
        <v>137.95400000000001</v>
      </c>
      <c r="P30" s="168">
        <v>137.95400000000001</v>
      </c>
      <c r="Q30" s="169">
        <v>137.95400000000001</v>
      </c>
    </row>
    <row r="31" spans="1:17" s="133" customFormat="1" ht="15">
      <c r="A31" s="368" t="s">
        <v>236</v>
      </c>
      <c r="B31" s="369"/>
      <c r="C31" s="168"/>
      <c r="D31" s="170">
        <f t="shared" ref="D31:J31" si="7">SUM(D30/C30*100)</f>
        <v>206.76818950930627</v>
      </c>
      <c r="E31" s="170">
        <f t="shared" si="7"/>
        <v>133.35326702757143</v>
      </c>
      <c r="F31" s="170">
        <f t="shared" si="7"/>
        <v>137.56048054001747</v>
      </c>
      <c r="G31" s="170">
        <f t="shared" si="7"/>
        <v>83.858071821972118</v>
      </c>
      <c r="H31" s="170">
        <f t="shared" si="7"/>
        <v>104.14322250639385</v>
      </c>
      <c r="I31" s="170">
        <f t="shared" si="7"/>
        <v>106.30451866404715</v>
      </c>
      <c r="J31" s="171">
        <f t="shared" si="7"/>
        <v>138.0768448871722</v>
      </c>
      <c r="K31" s="163">
        <f>SUM((K30/J30)*100)</f>
        <v>116.44715708319949</v>
      </c>
      <c r="L31" s="163">
        <f>SUM((L30/K30)*100)</f>
        <v>100.20919540229885</v>
      </c>
      <c r="M31" s="163">
        <f>SUM((M30/L30)*100)</f>
        <v>122.08368699961001</v>
      </c>
      <c r="N31" s="163">
        <f>SUM((N30/M30)*100)</f>
        <v>106.4894066801334</v>
      </c>
      <c r="O31" s="163">
        <f>SUM((O30/N30)*100)</f>
        <v>121.71481004393783</v>
      </c>
      <c r="P31" s="171">
        <f>SUM(P30/O30*100)</f>
        <v>100</v>
      </c>
      <c r="Q31" s="172">
        <f>SUM(Q30/P30*100)</f>
        <v>100</v>
      </c>
    </row>
    <row r="32" spans="1:17" s="133" customFormat="1" ht="15">
      <c r="A32" s="173" t="s">
        <v>406</v>
      </c>
      <c r="B32" s="167" t="s">
        <v>239</v>
      </c>
      <c r="C32" s="174">
        <f>0.109+0.011+0.414</f>
        <v>0.53400000000000003</v>
      </c>
      <c r="D32" s="175">
        <f>0.29</f>
        <v>0.28999999999999998</v>
      </c>
      <c r="E32" s="175">
        <v>10.467000000000001</v>
      </c>
      <c r="F32" s="175">
        <v>9.0830000000000002</v>
      </c>
      <c r="G32" s="175">
        <v>14.564</v>
      </c>
      <c r="H32" s="175">
        <v>16.64</v>
      </c>
      <c r="I32" s="175">
        <v>15.8</v>
      </c>
      <c r="J32" s="175">
        <v>16.701000000000001</v>
      </c>
      <c r="K32" s="175">
        <v>15.4</v>
      </c>
      <c r="L32" s="175">
        <v>25.628</v>
      </c>
      <c r="M32" s="175">
        <v>27.094999999999999</v>
      </c>
      <c r="N32" s="175">
        <v>30</v>
      </c>
      <c r="O32" s="176">
        <v>32</v>
      </c>
      <c r="P32" s="175">
        <v>32</v>
      </c>
      <c r="Q32" s="177">
        <v>32</v>
      </c>
    </row>
    <row r="33" spans="1:17" s="133" customFormat="1" ht="15">
      <c r="A33" s="368" t="s">
        <v>236</v>
      </c>
      <c r="B33" s="369"/>
      <c r="C33" s="175"/>
      <c r="D33" s="178">
        <v>0</v>
      </c>
      <c r="E33" s="178">
        <v>0</v>
      </c>
      <c r="F33" s="171">
        <f>SUM(F32/E32*100)</f>
        <v>86.777491162701821</v>
      </c>
      <c r="G33" s="171">
        <f>SUM(G32/F32*100)</f>
        <v>160.34349884399427</v>
      </c>
      <c r="H33" s="171">
        <f>SUM(H32/G32*100)</f>
        <v>114.25432573468828</v>
      </c>
      <c r="I33" s="171">
        <f>SUM(I32/H32*100)</f>
        <v>94.951923076923066</v>
      </c>
      <c r="J33" s="171">
        <f>SUM(J32/I32*100)</f>
        <v>105.70253164556962</v>
      </c>
      <c r="K33" s="163">
        <f>SUM((K32/J32)*100)</f>
        <v>92.210047302556731</v>
      </c>
      <c r="L33" s="163">
        <f>SUM((L32/K32)*100)</f>
        <v>166.41558441558442</v>
      </c>
      <c r="M33" s="163">
        <f>SUM((M32/L32)*100)</f>
        <v>105.72420789761199</v>
      </c>
      <c r="N33" s="163">
        <f>SUM((N32/M32)*100)</f>
        <v>110.72153533862337</v>
      </c>
      <c r="O33" s="163">
        <f>SUM((O32/N32)*100)</f>
        <v>106.66666666666667</v>
      </c>
      <c r="P33" s="171">
        <f>SUM(P32/O32*100)</f>
        <v>100</v>
      </c>
      <c r="Q33" s="172">
        <f>SUM(Q32/P32*100)</f>
        <v>100</v>
      </c>
    </row>
    <row r="34" spans="1:17" s="133" customFormat="1" ht="15">
      <c r="A34" s="179" t="s">
        <v>407</v>
      </c>
      <c r="B34" s="139" t="s">
        <v>246</v>
      </c>
      <c r="C34" s="180">
        <v>4</v>
      </c>
      <c r="D34" s="180">
        <v>4</v>
      </c>
      <c r="E34" s="180">
        <v>4</v>
      </c>
      <c r="F34" s="180">
        <v>4</v>
      </c>
      <c r="G34" s="181">
        <f>G36+G37</f>
        <v>4</v>
      </c>
      <c r="H34" s="181">
        <v>4</v>
      </c>
      <c r="I34" s="181">
        <f>I36+I37</f>
        <v>4</v>
      </c>
      <c r="J34" s="181">
        <f>J36+J37</f>
        <v>4</v>
      </c>
      <c r="K34" s="181">
        <f>K36+K37</f>
        <v>4</v>
      </c>
      <c r="L34" s="182">
        <f>L36+L37</f>
        <v>4</v>
      </c>
      <c r="M34" s="182">
        <f>M36+M37+M38</f>
        <v>4</v>
      </c>
      <c r="N34" s="182">
        <f>N36+N37+N38</f>
        <v>5</v>
      </c>
      <c r="O34" s="182">
        <f>O36+O37+O38</f>
        <v>5</v>
      </c>
      <c r="P34" s="182">
        <f>P36+P37+P38</f>
        <v>5</v>
      </c>
      <c r="Q34" s="182">
        <f>Q36+Q37+Q38</f>
        <v>5</v>
      </c>
    </row>
    <row r="35" spans="1:17" s="133" customFormat="1" ht="15">
      <c r="A35" s="370" t="s">
        <v>245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3"/>
    </row>
    <row r="36" spans="1:17" s="133" customFormat="1" ht="15">
      <c r="A36" s="127" t="s">
        <v>408</v>
      </c>
      <c r="B36" s="128" t="s">
        <v>246</v>
      </c>
      <c r="C36" s="183">
        <v>3</v>
      </c>
      <c r="D36" s="183">
        <v>3</v>
      </c>
      <c r="E36" s="183">
        <v>3</v>
      </c>
      <c r="F36" s="183">
        <v>3</v>
      </c>
      <c r="G36" s="183">
        <v>3</v>
      </c>
      <c r="H36" s="183">
        <v>3</v>
      </c>
      <c r="I36" s="183">
        <v>3</v>
      </c>
      <c r="J36" s="183">
        <v>3</v>
      </c>
      <c r="K36" s="183">
        <v>3</v>
      </c>
      <c r="L36" s="183">
        <v>3</v>
      </c>
      <c r="M36" s="183">
        <v>3</v>
      </c>
      <c r="N36" s="183">
        <v>3</v>
      </c>
      <c r="O36" s="183">
        <v>3</v>
      </c>
      <c r="P36" s="183">
        <v>3</v>
      </c>
      <c r="Q36" s="184">
        <v>3</v>
      </c>
    </row>
    <row r="37" spans="1:17" s="133" customFormat="1" ht="15">
      <c r="A37" s="127" t="s">
        <v>247</v>
      </c>
      <c r="B37" s="128" t="s">
        <v>246</v>
      </c>
      <c r="C37" s="183">
        <v>1</v>
      </c>
      <c r="D37" s="183">
        <v>1</v>
      </c>
      <c r="E37" s="183">
        <v>1</v>
      </c>
      <c r="F37" s="183">
        <v>1</v>
      </c>
      <c r="G37" s="183">
        <v>1</v>
      </c>
      <c r="H37" s="183">
        <v>1</v>
      </c>
      <c r="I37" s="183">
        <v>1</v>
      </c>
      <c r="J37" s="183">
        <v>1</v>
      </c>
      <c r="K37" s="183">
        <v>1</v>
      </c>
      <c r="L37" s="183">
        <v>1</v>
      </c>
      <c r="M37" s="183">
        <v>1</v>
      </c>
      <c r="N37" s="183">
        <v>1</v>
      </c>
      <c r="O37" s="183">
        <v>1</v>
      </c>
      <c r="P37" s="183">
        <v>1</v>
      </c>
      <c r="Q37" s="184">
        <v>1</v>
      </c>
    </row>
    <row r="38" spans="1:17" s="133" customFormat="1" ht="15">
      <c r="A38" s="127" t="s">
        <v>480</v>
      </c>
      <c r="B38" s="128" t="s">
        <v>246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>
        <v>1</v>
      </c>
      <c r="O38" s="183">
        <v>1</v>
      </c>
      <c r="P38" s="183">
        <v>1</v>
      </c>
      <c r="Q38" s="184">
        <v>1</v>
      </c>
    </row>
    <row r="39" spans="1:17" s="133" customFormat="1" ht="15">
      <c r="A39" s="370" t="s">
        <v>240</v>
      </c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3"/>
    </row>
    <row r="40" spans="1:17" s="133" customFormat="1" ht="15">
      <c r="A40" s="127" t="s">
        <v>234</v>
      </c>
      <c r="B40" s="139" t="s">
        <v>239</v>
      </c>
      <c r="C40" s="185">
        <f>2.06+7.989</f>
        <v>10.048999999999999</v>
      </c>
      <c r="D40" s="186">
        <v>12.94</v>
      </c>
      <c r="E40" s="187">
        <f>6.1+10.5+3.3</f>
        <v>19.900000000000002</v>
      </c>
      <c r="F40" s="187">
        <f>8.8+2.77+0.263+9</f>
        <v>20.832999999999998</v>
      </c>
      <c r="G40" s="187">
        <f>1.2+8.1+3.5+7.8</f>
        <v>20.599999999999998</v>
      </c>
      <c r="H40" s="187">
        <v>19.43</v>
      </c>
      <c r="I40" s="187">
        <v>20.059999999999999</v>
      </c>
      <c r="J40" s="187">
        <v>24.61</v>
      </c>
      <c r="K40" s="187">
        <v>27.5</v>
      </c>
      <c r="L40" s="188">
        <f t="shared" ref="L40:Q40" si="8">L43+L44</f>
        <v>27.1</v>
      </c>
      <c r="M40" s="188">
        <f t="shared" si="8"/>
        <v>29.43</v>
      </c>
      <c r="N40" s="188">
        <f t="shared" si="8"/>
        <v>29.65</v>
      </c>
      <c r="O40" s="188">
        <f t="shared" si="8"/>
        <v>32.619999999999997</v>
      </c>
      <c r="P40" s="188">
        <f t="shared" si="8"/>
        <v>35.880000000000003</v>
      </c>
      <c r="Q40" s="294">
        <f t="shared" si="8"/>
        <v>38.76</v>
      </c>
    </row>
    <row r="41" spans="1:17" s="133" customFormat="1" ht="15">
      <c r="A41" s="368" t="s">
        <v>236</v>
      </c>
      <c r="B41" s="369"/>
      <c r="C41" s="189"/>
      <c r="D41" s="190">
        <f t="shared" ref="D41:J41" si="9">D40/C40*100</f>
        <v>128.76903174445218</v>
      </c>
      <c r="E41" s="143">
        <f t="shared" si="9"/>
        <v>153.78670788253478</v>
      </c>
      <c r="F41" s="143">
        <f t="shared" si="9"/>
        <v>104.68844221105526</v>
      </c>
      <c r="G41" s="143">
        <f t="shared" si="9"/>
        <v>98.881582105313683</v>
      </c>
      <c r="H41" s="143">
        <f t="shared" si="9"/>
        <v>94.320388349514573</v>
      </c>
      <c r="I41" s="143">
        <f t="shared" si="9"/>
        <v>103.24240864642304</v>
      </c>
      <c r="J41" s="144">
        <f t="shared" si="9"/>
        <v>122.68195413758724</v>
      </c>
      <c r="K41" s="163">
        <f>SUM((K40/J40)*100)</f>
        <v>111.74319382364892</v>
      </c>
      <c r="L41" s="163">
        <f>SUM((L40/K40)*100)</f>
        <v>98.545454545454547</v>
      </c>
      <c r="M41" s="163">
        <f>SUM((M40/L40)*100)</f>
        <v>108.59778597785976</v>
      </c>
      <c r="N41" s="163">
        <f>SUM((N40/M40)*100)</f>
        <v>100.74753652735305</v>
      </c>
      <c r="O41" s="163">
        <f>SUM((O40/N40)*100)</f>
        <v>110.01686340640808</v>
      </c>
      <c r="P41" s="144">
        <f>P40/O40*100</f>
        <v>109.99386879215207</v>
      </c>
      <c r="Q41" s="145">
        <f>Q40/P40*100</f>
        <v>108.0267558528428</v>
      </c>
    </row>
    <row r="42" spans="1:17" s="133" customFormat="1" ht="15">
      <c r="A42" s="370" t="s">
        <v>245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6"/>
      <c r="P42" s="376"/>
      <c r="Q42" s="373"/>
    </row>
    <row r="43" spans="1:17" s="133" customFormat="1" ht="15">
      <c r="A43" s="127" t="s">
        <v>409</v>
      </c>
      <c r="B43" s="128" t="s">
        <v>261</v>
      </c>
      <c r="C43" s="189"/>
      <c r="D43" s="190"/>
      <c r="E43" s="143"/>
      <c r="F43" s="143"/>
      <c r="G43" s="143"/>
      <c r="H43" s="143"/>
      <c r="I43" s="143"/>
      <c r="J43" s="144"/>
      <c r="K43" s="163"/>
      <c r="L43" s="191">
        <v>17.8</v>
      </c>
      <c r="M43" s="191">
        <v>20.25</v>
      </c>
      <c r="N43" s="191">
        <v>21.54</v>
      </c>
      <c r="O43" s="191">
        <v>23.7</v>
      </c>
      <c r="P43" s="295">
        <v>26.07</v>
      </c>
      <c r="Q43" s="296">
        <v>28.15</v>
      </c>
    </row>
    <row r="44" spans="1:17" s="133" customFormat="1" ht="15">
      <c r="A44" s="127" t="s">
        <v>410</v>
      </c>
      <c r="B44" s="128" t="s">
        <v>261</v>
      </c>
      <c r="C44" s="189"/>
      <c r="D44" s="190"/>
      <c r="E44" s="143"/>
      <c r="F44" s="143"/>
      <c r="G44" s="143"/>
      <c r="H44" s="143"/>
      <c r="I44" s="143"/>
      <c r="J44" s="144"/>
      <c r="K44" s="163"/>
      <c r="L44" s="187">
        <v>9.3000000000000007</v>
      </c>
      <c r="M44" s="187">
        <v>9.18</v>
      </c>
      <c r="N44" s="187">
        <v>8.11</v>
      </c>
      <c r="O44" s="187">
        <v>8.92</v>
      </c>
      <c r="P44" s="187">
        <v>9.81</v>
      </c>
      <c r="Q44" s="192">
        <v>10.61</v>
      </c>
    </row>
    <row r="45" spans="1:17" s="125" customFormat="1" ht="15.75" customHeight="1">
      <c r="A45" s="357" t="s">
        <v>411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9"/>
    </row>
    <row r="46" spans="1:17" s="133" customFormat="1" ht="15">
      <c r="A46" s="127" t="s">
        <v>412</v>
      </c>
      <c r="B46" s="128" t="s">
        <v>249</v>
      </c>
      <c r="C46" s="183">
        <v>3.17</v>
      </c>
      <c r="D46" s="183">
        <v>3.17</v>
      </c>
      <c r="E46" s="183">
        <v>3.17</v>
      </c>
      <c r="F46" s="183">
        <v>3.17</v>
      </c>
      <c r="G46" s="183">
        <v>3.17</v>
      </c>
      <c r="H46" s="193">
        <v>3.17</v>
      </c>
      <c r="I46" s="193">
        <v>3.17</v>
      </c>
      <c r="J46" s="193">
        <v>3.17</v>
      </c>
      <c r="K46" s="193">
        <v>3.17</v>
      </c>
      <c r="L46" s="193">
        <v>3.17</v>
      </c>
      <c r="M46" s="193">
        <v>3.17</v>
      </c>
      <c r="N46" s="193">
        <v>3.17</v>
      </c>
      <c r="O46" s="193">
        <v>3.17</v>
      </c>
      <c r="P46" s="193">
        <v>3.17</v>
      </c>
      <c r="Q46" s="194">
        <v>3.17</v>
      </c>
    </row>
    <row r="47" spans="1:17" s="125" customFormat="1" ht="15.75" customHeight="1">
      <c r="A47" s="357" t="s">
        <v>413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9"/>
    </row>
    <row r="48" spans="1:17" s="133" customFormat="1" ht="30">
      <c r="A48" s="282" t="s">
        <v>481</v>
      </c>
      <c r="B48" s="139" t="s">
        <v>246</v>
      </c>
      <c r="C48" s="195">
        <v>17</v>
      </c>
      <c r="D48" s="196">
        <v>17</v>
      </c>
      <c r="E48" s="195" t="e">
        <f>E50+#REF!+#REF!+#REF!</f>
        <v>#REF!</v>
      </c>
      <c r="F48" s="195" t="e">
        <f>F50+#REF!+#REF!+#REF!</f>
        <v>#REF!</v>
      </c>
      <c r="G48" s="195" t="e">
        <f>G50+#REF!+#REF!+#REF!</f>
        <v>#REF!</v>
      </c>
      <c r="H48" s="195" t="e">
        <f>H50+#REF!+#REF!+#REF!</f>
        <v>#REF!</v>
      </c>
      <c r="I48" s="197" t="e">
        <f>I50+#REF!+#REF!+#REF!</f>
        <v>#REF!</v>
      </c>
      <c r="J48" s="197" t="e">
        <f>J50+#REF!+#REF!+#REF!</f>
        <v>#REF!</v>
      </c>
      <c r="K48" s="197" t="e">
        <f>K50+#REF!+#REF!+#REF!</f>
        <v>#REF!</v>
      </c>
      <c r="L48" s="197">
        <v>102</v>
      </c>
      <c r="M48" s="197">
        <v>86</v>
      </c>
      <c r="N48" s="197">
        <v>98</v>
      </c>
      <c r="O48" s="197">
        <v>103</v>
      </c>
      <c r="P48" s="197">
        <v>109</v>
      </c>
      <c r="Q48" s="198">
        <v>115</v>
      </c>
    </row>
    <row r="49" spans="1:17" s="133" customFormat="1" ht="15">
      <c r="A49" s="377" t="s">
        <v>245</v>
      </c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3"/>
    </row>
    <row r="50" spans="1:17" s="133" customFormat="1" ht="15">
      <c r="A50" s="127" t="s">
        <v>482</v>
      </c>
      <c r="B50" s="128" t="s">
        <v>483</v>
      </c>
      <c r="C50" s="199">
        <v>4</v>
      </c>
      <c r="D50" s="200">
        <v>3</v>
      </c>
      <c r="E50" s="200">
        <v>4</v>
      </c>
      <c r="F50" s="200">
        <v>4</v>
      </c>
      <c r="G50" s="200">
        <v>4</v>
      </c>
      <c r="H50" s="200">
        <v>4</v>
      </c>
      <c r="I50" s="200">
        <v>4</v>
      </c>
      <c r="J50" s="200">
        <v>4</v>
      </c>
      <c r="K50" s="200"/>
      <c r="L50" s="200"/>
      <c r="M50" s="200">
        <v>32</v>
      </c>
      <c r="N50" s="200">
        <v>32</v>
      </c>
      <c r="O50" s="200">
        <v>33</v>
      </c>
      <c r="P50" s="200">
        <v>34</v>
      </c>
      <c r="Q50" s="201">
        <v>35</v>
      </c>
    </row>
    <row r="51" spans="1:17" s="133" customFormat="1" ht="15">
      <c r="A51" s="127" t="s">
        <v>484</v>
      </c>
      <c r="B51" s="128" t="s">
        <v>483</v>
      </c>
      <c r="C51" s="199"/>
      <c r="D51" s="200"/>
      <c r="E51" s="200"/>
      <c r="F51" s="200"/>
      <c r="G51" s="200"/>
      <c r="H51" s="200"/>
      <c r="I51" s="200"/>
      <c r="J51" s="200"/>
      <c r="K51" s="200"/>
      <c r="L51" s="200"/>
      <c r="M51" s="200">
        <v>54</v>
      </c>
      <c r="N51" s="200">
        <v>66</v>
      </c>
      <c r="O51" s="200">
        <v>70</v>
      </c>
      <c r="P51" s="200">
        <v>75</v>
      </c>
      <c r="Q51" s="201">
        <v>80</v>
      </c>
    </row>
    <row r="52" spans="1:17" s="133" customFormat="1" ht="15">
      <c r="A52" s="127" t="s">
        <v>485</v>
      </c>
      <c r="B52" s="128" t="s">
        <v>483</v>
      </c>
      <c r="C52" s="199"/>
      <c r="D52" s="200"/>
      <c r="E52" s="200"/>
      <c r="F52" s="200"/>
      <c r="G52" s="200"/>
      <c r="H52" s="200"/>
      <c r="I52" s="200"/>
      <c r="J52" s="200"/>
      <c r="K52" s="200"/>
      <c r="L52" s="200"/>
      <c r="M52" s="200">
        <v>4</v>
      </c>
      <c r="N52" s="200">
        <v>4</v>
      </c>
      <c r="O52" s="200">
        <v>4</v>
      </c>
      <c r="P52" s="200">
        <v>5</v>
      </c>
      <c r="Q52" s="201">
        <v>5</v>
      </c>
    </row>
    <row r="53" spans="1:17" s="133" customFormat="1" ht="15">
      <c r="A53" s="127" t="s">
        <v>486</v>
      </c>
      <c r="B53" s="128" t="s">
        <v>483</v>
      </c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0">
        <v>82</v>
      </c>
      <c r="N53" s="200">
        <v>94</v>
      </c>
      <c r="O53" s="200">
        <v>99</v>
      </c>
      <c r="P53" s="200">
        <v>104</v>
      </c>
      <c r="Q53" s="201">
        <v>110</v>
      </c>
    </row>
    <row r="54" spans="1:17" s="125" customFormat="1" ht="15.75" customHeight="1">
      <c r="A54" s="357" t="s">
        <v>415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9"/>
    </row>
    <row r="55" spans="1:17" s="133" customFormat="1" ht="15">
      <c r="A55" s="127" t="s">
        <v>416</v>
      </c>
      <c r="B55" s="128" t="s">
        <v>239</v>
      </c>
      <c r="C55" s="183"/>
      <c r="D55" s="183"/>
      <c r="E55" s="183"/>
      <c r="F55" s="183"/>
      <c r="G55" s="183"/>
      <c r="H55" s="193"/>
      <c r="I55" s="193"/>
      <c r="J55" s="193"/>
      <c r="K55" s="193"/>
      <c r="L55" s="297">
        <v>241.91300000000001</v>
      </c>
      <c r="M55" s="297">
        <v>107.22499999999999</v>
      </c>
      <c r="N55" s="297">
        <v>150</v>
      </c>
      <c r="O55" s="297">
        <v>150</v>
      </c>
      <c r="P55" s="297">
        <v>150</v>
      </c>
      <c r="Q55" s="298">
        <v>150</v>
      </c>
    </row>
    <row r="56" spans="1:17" s="133" customFormat="1" ht="15">
      <c r="A56" s="127" t="s">
        <v>417</v>
      </c>
      <c r="B56" s="128" t="s">
        <v>239</v>
      </c>
      <c r="C56" s="183"/>
      <c r="D56" s="183"/>
      <c r="E56" s="183"/>
      <c r="F56" s="183"/>
      <c r="G56" s="183"/>
      <c r="H56" s="193"/>
      <c r="I56" s="193"/>
      <c r="J56" s="193"/>
      <c r="K56" s="193"/>
      <c r="L56" s="193">
        <v>60.838999999999999</v>
      </c>
      <c r="M56" s="297">
        <v>32.515000000000001</v>
      </c>
      <c r="N56" s="297">
        <v>32.463999999999999</v>
      </c>
      <c r="O56" s="297">
        <v>12.464</v>
      </c>
      <c r="P56" s="297">
        <v>12.464</v>
      </c>
      <c r="Q56" s="298">
        <v>12.464</v>
      </c>
    </row>
    <row r="57" spans="1:17" s="133" customFormat="1" ht="30">
      <c r="A57" s="127" t="s">
        <v>375</v>
      </c>
      <c r="B57" s="128" t="s">
        <v>239</v>
      </c>
      <c r="C57" s="283"/>
      <c r="D57" s="283"/>
      <c r="E57" s="283"/>
      <c r="F57" s="283"/>
      <c r="G57" s="283"/>
      <c r="H57" s="283"/>
      <c r="I57" s="283"/>
      <c r="J57" s="283"/>
      <c r="K57" s="205">
        <v>0</v>
      </c>
      <c r="L57" s="206">
        <f>6.3+2</f>
        <v>8.3000000000000007</v>
      </c>
      <c r="M57" s="299">
        <v>121.9</v>
      </c>
      <c r="N57" s="299">
        <v>13.4</v>
      </c>
      <c r="O57" s="299">
        <v>1.7</v>
      </c>
      <c r="P57" s="299">
        <v>3.3</v>
      </c>
      <c r="Q57" s="300">
        <v>1.7</v>
      </c>
    </row>
    <row r="58" spans="1:17" s="133" customFormat="1" ht="13.5" customHeight="1">
      <c r="A58" s="370" t="s">
        <v>251</v>
      </c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3"/>
    </row>
    <row r="59" spans="1:17" s="133" customFormat="1" ht="15">
      <c r="A59" s="138" t="s">
        <v>252</v>
      </c>
      <c r="B59" s="128" t="s">
        <v>239</v>
      </c>
      <c r="C59" s="207">
        <v>62.37</v>
      </c>
      <c r="D59" s="207">
        <v>72.38</v>
      </c>
      <c r="E59" s="183">
        <v>86.5</v>
      </c>
      <c r="F59" s="183">
        <v>41.2</v>
      </c>
      <c r="G59" s="183">
        <v>71.900000000000006</v>
      </c>
      <c r="H59" s="183">
        <v>81.400000000000006</v>
      </c>
      <c r="I59" s="183">
        <f>54.3</f>
        <v>54.3</v>
      </c>
      <c r="J59" s="183">
        <v>65.2</v>
      </c>
      <c r="K59" s="183">
        <v>97.8</v>
      </c>
      <c r="L59" s="183">
        <v>88.34</v>
      </c>
      <c r="M59" s="183">
        <v>73.16</v>
      </c>
      <c r="N59" s="183">
        <v>50.5</v>
      </c>
      <c r="O59" s="183">
        <v>50.5</v>
      </c>
      <c r="P59" s="153">
        <v>50.5</v>
      </c>
      <c r="Q59" s="208">
        <v>50.5</v>
      </c>
    </row>
    <row r="60" spans="1:17" s="125" customFormat="1" ht="15.75" customHeight="1">
      <c r="A60" s="357" t="s">
        <v>487</v>
      </c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209"/>
    </row>
    <row r="61" spans="1:17" s="133" customFormat="1" ht="15">
      <c r="A61" s="282" t="s">
        <v>418</v>
      </c>
      <c r="B61" s="128" t="s">
        <v>250</v>
      </c>
      <c r="C61" s="183" t="e">
        <f>C62+C63+C64+C66+C67+C68+C69+#REF!+#REF!+#REF!+#REF!+#REF!+#REF!</f>
        <v>#REF!</v>
      </c>
      <c r="D61" s="183" t="e">
        <f>D62+D63+D64+D66+D67+D68+D69+#REF!+#REF!+#REF!+#REF!+#REF!+#REF!</f>
        <v>#REF!</v>
      </c>
      <c r="E61" s="183" t="e">
        <f>E62+E63+E64+E66+E67+E68+E69+#REF!+#REF!+#REF!+#REF!+#REF!+#REF!</f>
        <v>#REF!</v>
      </c>
      <c r="F61" s="183" t="e">
        <f>F62+F63+F64+F66+F67+F68+F69+#REF!+#REF!+#REF!+#REF!+#REF!+#REF!</f>
        <v>#REF!</v>
      </c>
      <c r="G61" s="183" t="e">
        <f>G62+G63+G64+G66+G67+G68+G69+#REF!+#REF!+#REF!+#REF!+#REF!+#REF!</f>
        <v>#REF!</v>
      </c>
      <c r="H61" s="183" t="e">
        <f>H62+H63+H64+H66+H67+H68+H69+#REF!+#REF!+#REF!+#REF!+#REF!+#REF!</f>
        <v>#REF!</v>
      </c>
      <c r="I61" s="183" t="e">
        <f>I62+I63+I64+I66+I67+I68+I69+#REF!+#REF!+#REF!+#REF!+#REF!+#REF!</f>
        <v>#REF!</v>
      </c>
      <c r="J61" s="183" t="e">
        <f>J62+J63+J64+J66+J67+J68+J69+#REF!+#REF!+#REF!+#REF!+#REF!+#REF!</f>
        <v>#REF!</v>
      </c>
      <c r="K61" s="183" t="e">
        <f>K62+K63+K64+K66+K67+K68+K69+#REF!+#REF!+#REF!+#REF!+#REF!+#REF!</f>
        <v>#REF!</v>
      </c>
      <c r="L61" s="183">
        <v>2509</v>
      </c>
      <c r="M61" s="180">
        <v>2361</v>
      </c>
      <c r="N61" s="180">
        <v>2450</v>
      </c>
      <c r="O61" s="180">
        <v>2600</v>
      </c>
      <c r="P61" s="180">
        <v>2600</v>
      </c>
      <c r="Q61" s="301">
        <v>2600</v>
      </c>
    </row>
    <row r="62" spans="1:17" s="133" customFormat="1" ht="15">
      <c r="A62" s="127" t="s">
        <v>419</v>
      </c>
      <c r="B62" s="128" t="s">
        <v>250</v>
      </c>
      <c r="C62" s="183">
        <f>208+130</f>
        <v>338</v>
      </c>
      <c r="D62" s="183">
        <v>320</v>
      </c>
      <c r="E62" s="183">
        <f>127+117</f>
        <v>244</v>
      </c>
      <c r="F62" s="183">
        <f>138+118</f>
        <v>256</v>
      </c>
      <c r="G62" s="183">
        <f>161+126</f>
        <v>287</v>
      </c>
      <c r="H62" s="183">
        <v>290</v>
      </c>
      <c r="I62" s="183">
        <v>255</v>
      </c>
      <c r="J62" s="183">
        <v>244</v>
      </c>
      <c r="K62" s="183">
        <v>285</v>
      </c>
      <c r="L62" s="183">
        <v>268</v>
      </c>
      <c r="M62" s="183">
        <v>251</v>
      </c>
      <c r="N62" s="183">
        <v>270</v>
      </c>
      <c r="O62" s="183">
        <v>280</v>
      </c>
      <c r="P62" s="183">
        <v>280</v>
      </c>
      <c r="Q62" s="184">
        <v>280</v>
      </c>
    </row>
    <row r="63" spans="1:17" s="133" customFormat="1" ht="15">
      <c r="A63" s="127" t="s">
        <v>420</v>
      </c>
      <c r="B63" s="128" t="s">
        <v>250</v>
      </c>
      <c r="C63" s="183">
        <f>51+85</f>
        <v>136</v>
      </c>
      <c r="D63" s="183">
        <v>104</v>
      </c>
      <c r="E63" s="183">
        <v>70</v>
      </c>
      <c r="F63" s="183">
        <f>43+30</f>
        <v>73</v>
      </c>
      <c r="G63" s="183">
        <f>45+21</f>
        <v>66</v>
      </c>
      <c r="H63" s="183">
        <v>66</v>
      </c>
      <c r="I63" s="183">
        <v>77</v>
      </c>
      <c r="J63" s="183">
        <v>107</v>
      </c>
      <c r="K63" s="183">
        <v>143</v>
      </c>
      <c r="L63" s="183">
        <v>587</v>
      </c>
      <c r="M63" s="183">
        <v>125</v>
      </c>
      <c r="N63" s="183">
        <v>130</v>
      </c>
      <c r="O63" s="183">
        <v>150</v>
      </c>
      <c r="P63" s="183">
        <v>150</v>
      </c>
      <c r="Q63" s="184">
        <v>150</v>
      </c>
    </row>
    <row r="64" spans="1:17" s="133" customFormat="1" ht="15">
      <c r="A64" s="127" t="s">
        <v>421</v>
      </c>
      <c r="B64" s="128" t="s">
        <v>250</v>
      </c>
      <c r="C64" s="183" t="e">
        <f>SUM(#REF!+C65)</f>
        <v>#REF!</v>
      </c>
      <c r="D64" s="183" t="e">
        <f>SUM(#REF!+D65)</f>
        <v>#REF!</v>
      </c>
      <c r="E64" s="183" t="e">
        <f>SUM(#REF!+E65)</f>
        <v>#REF!</v>
      </c>
      <c r="F64" s="183" t="e">
        <f>SUM(#REF!+F65)</f>
        <v>#REF!</v>
      </c>
      <c r="G64" s="183" t="e">
        <f>SUM(#REF!+G65)</f>
        <v>#REF!</v>
      </c>
      <c r="H64" s="183" t="e">
        <f>#REF!+H65</f>
        <v>#REF!</v>
      </c>
      <c r="I64" s="183" t="e">
        <f>#REF!+I65</f>
        <v>#REF!</v>
      </c>
      <c r="J64" s="183" t="e">
        <f>#REF!+J65</f>
        <v>#REF!</v>
      </c>
      <c r="K64" s="183" t="e">
        <f>#REF!+K65</f>
        <v>#REF!</v>
      </c>
      <c r="L64" s="183">
        <v>140</v>
      </c>
      <c r="M64" s="183">
        <v>289</v>
      </c>
      <c r="N64" s="183">
        <v>300</v>
      </c>
      <c r="O64" s="183">
        <v>310</v>
      </c>
      <c r="P64" s="183">
        <v>310</v>
      </c>
      <c r="Q64" s="184">
        <v>310</v>
      </c>
    </row>
    <row r="65" spans="1:17" s="133" customFormat="1" ht="15">
      <c r="A65" s="127" t="s">
        <v>422</v>
      </c>
      <c r="B65" s="128" t="s">
        <v>250</v>
      </c>
      <c r="C65" s="183">
        <v>7</v>
      </c>
      <c r="D65" s="183">
        <v>6</v>
      </c>
      <c r="E65" s="183">
        <v>5</v>
      </c>
      <c r="F65" s="183">
        <v>6</v>
      </c>
      <c r="G65" s="183">
        <v>6</v>
      </c>
      <c r="H65" s="183">
        <v>6</v>
      </c>
      <c r="I65" s="183">
        <v>5</v>
      </c>
      <c r="J65" s="183">
        <v>4</v>
      </c>
      <c r="K65" s="183">
        <v>4</v>
      </c>
      <c r="L65" s="183">
        <v>251</v>
      </c>
      <c r="M65" s="183">
        <v>252</v>
      </c>
      <c r="N65" s="183">
        <v>255</v>
      </c>
      <c r="O65" s="183">
        <v>260</v>
      </c>
      <c r="P65" s="183">
        <v>260</v>
      </c>
      <c r="Q65" s="184">
        <v>260</v>
      </c>
    </row>
    <row r="66" spans="1:17" s="133" customFormat="1" ht="15">
      <c r="A66" s="127" t="s">
        <v>98</v>
      </c>
      <c r="B66" s="128" t="s">
        <v>250</v>
      </c>
      <c r="C66" s="183">
        <f>162+309</f>
        <v>471</v>
      </c>
      <c r="D66" s="183">
        <v>485</v>
      </c>
      <c r="E66" s="183">
        <f>349+106</f>
        <v>455</v>
      </c>
      <c r="F66" s="183">
        <f>352+104</f>
        <v>456</v>
      </c>
      <c r="G66" s="183">
        <v>441</v>
      </c>
      <c r="H66" s="183">
        <v>439</v>
      </c>
      <c r="I66" s="183">
        <v>410</v>
      </c>
      <c r="J66" s="183">
        <v>334</v>
      </c>
      <c r="K66" s="183">
        <v>357</v>
      </c>
      <c r="L66" s="183">
        <v>384</v>
      </c>
      <c r="M66" s="183">
        <v>394</v>
      </c>
      <c r="N66" s="183">
        <v>400</v>
      </c>
      <c r="O66" s="183">
        <v>400</v>
      </c>
      <c r="P66" s="183">
        <v>400</v>
      </c>
      <c r="Q66" s="184">
        <v>400</v>
      </c>
    </row>
    <row r="67" spans="1:17" s="133" customFormat="1" ht="15">
      <c r="A67" s="127" t="s">
        <v>423</v>
      </c>
      <c r="B67" s="128" t="s">
        <v>250</v>
      </c>
      <c r="C67" s="183">
        <v>438</v>
      </c>
      <c r="D67" s="183">
        <v>248</v>
      </c>
      <c r="E67" s="183">
        <v>202</v>
      </c>
      <c r="F67" s="183">
        <v>307</v>
      </c>
      <c r="G67" s="183">
        <v>414</v>
      </c>
      <c r="H67" s="183">
        <v>354</v>
      </c>
      <c r="I67" s="183">
        <v>256</v>
      </c>
      <c r="J67" s="183">
        <v>205</v>
      </c>
      <c r="K67" s="183">
        <v>248</v>
      </c>
      <c r="L67" s="183">
        <v>220</v>
      </c>
      <c r="M67" s="183">
        <v>212</v>
      </c>
      <c r="N67" s="183">
        <v>210</v>
      </c>
      <c r="O67" s="183">
        <v>240</v>
      </c>
      <c r="P67" s="183">
        <v>240</v>
      </c>
      <c r="Q67" s="184">
        <v>240</v>
      </c>
    </row>
    <row r="68" spans="1:17" s="133" customFormat="1" ht="15">
      <c r="A68" s="127" t="s">
        <v>424</v>
      </c>
      <c r="B68" s="128" t="s">
        <v>250</v>
      </c>
      <c r="C68" s="183">
        <f>51+85</f>
        <v>136</v>
      </c>
      <c r="D68" s="183">
        <v>104</v>
      </c>
      <c r="E68" s="183">
        <v>70</v>
      </c>
      <c r="F68" s="183">
        <f>43+30</f>
        <v>73</v>
      </c>
      <c r="G68" s="183">
        <f>45+21</f>
        <v>66</v>
      </c>
      <c r="H68" s="183">
        <v>66</v>
      </c>
      <c r="I68" s="183">
        <v>77</v>
      </c>
      <c r="J68" s="183">
        <v>107</v>
      </c>
      <c r="K68" s="183">
        <v>143</v>
      </c>
      <c r="L68" s="183">
        <v>52</v>
      </c>
      <c r="M68" s="183">
        <v>50</v>
      </c>
      <c r="N68" s="183">
        <v>55</v>
      </c>
      <c r="O68" s="183">
        <v>60</v>
      </c>
      <c r="P68" s="183">
        <v>60</v>
      </c>
      <c r="Q68" s="184">
        <v>60</v>
      </c>
    </row>
    <row r="69" spans="1:17" s="133" customFormat="1" ht="15">
      <c r="A69" s="127" t="s">
        <v>253</v>
      </c>
      <c r="B69" s="128" t="s">
        <v>250</v>
      </c>
      <c r="C69" s="183">
        <f>1+7</f>
        <v>8</v>
      </c>
      <c r="D69" s="183">
        <v>6</v>
      </c>
      <c r="E69" s="183">
        <v>3</v>
      </c>
      <c r="F69" s="183">
        <v>3</v>
      </c>
      <c r="G69" s="183">
        <v>1</v>
      </c>
      <c r="H69" s="183">
        <v>1</v>
      </c>
      <c r="I69" s="183">
        <v>1</v>
      </c>
      <c r="J69" s="183">
        <v>1</v>
      </c>
      <c r="K69" s="183">
        <v>5</v>
      </c>
      <c r="L69" s="183">
        <v>124</v>
      </c>
      <c r="M69" s="183">
        <v>194</v>
      </c>
      <c r="N69" s="183">
        <v>170</v>
      </c>
      <c r="O69" s="183">
        <v>175</v>
      </c>
      <c r="P69" s="183">
        <v>175</v>
      </c>
      <c r="Q69" s="184">
        <v>175</v>
      </c>
    </row>
    <row r="70" spans="1:17" s="133" customFormat="1" ht="15">
      <c r="A70" s="302" t="s">
        <v>488</v>
      </c>
      <c r="B70" s="128" t="s">
        <v>489</v>
      </c>
      <c r="C70" s="303"/>
      <c r="D70" s="303"/>
      <c r="E70" s="303"/>
      <c r="F70" s="303"/>
      <c r="G70" s="303"/>
      <c r="H70" s="303"/>
      <c r="I70" s="303"/>
      <c r="J70" s="303"/>
      <c r="K70" s="303"/>
      <c r="L70" s="304">
        <v>83827.5</v>
      </c>
      <c r="M70" s="304">
        <v>87480</v>
      </c>
      <c r="N70" s="304">
        <v>91000</v>
      </c>
      <c r="O70" s="304">
        <v>100000</v>
      </c>
      <c r="P70" s="304">
        <v>110000</v>
      </c>
      <c r="Q70" s="304">
        <v>110000</v>
      </c>
    </row>
    <row r="71" spans="1:17" s="133" customFormat="1" ht="15">
      <c r="A71" s="127" t="s">
        <v>419</v>
      </c>
      <c r="B71" s="128" t="s">
        <v>489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54">
        <v>63768.1</v>
      </c>
      <c r="M71" s="154">
        <v>57235.3</v>
      </c>
      <c r="N71" s="154">
        <v>64000</v>
      </c>
      <c r="O71" s="154">
        <v>70000</v>
      </c>
      <c r="P71" s="154">
        <v>75000</v>
      </c>
      <c r="Q71" s="158">
        <v>75000</v>
      </c>
    </row>
    <row r="72" spans="1:17" s="133" customFormat="1" ht="15">
      <c r="A72" s="127" t="s">
        <v>420</v>
      </c>
      <c r="B72" s="128" t="s">
        <v>489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54">
        <v>113625.8</v>
      </c>
      <c r="M72" s="154">
        <v>100058.3</v>
      </c>
      <c r="N72" s="154">
        <v>105000</v>
      </c>
      <c r="O72" s="154">
        <v>110000</v>
      </c>
      <c r="P72" s="154">
        <v>115000</v>
      </c>
      <c r="Q72" s="158">
        <v>115000</v>
      </c>
    </row>
    <row r="73" spans="1:17" s="133" customFormat="1" ht="15">
      <c r="A73" s="127" t="s">
        <v>421</v>
      </c>
      <c r="B73" s="128" t="s">
        <v>489</v>
      </c>
      <c r="C73" s="183"/>
      <c r="D73" s="183"/>
      <c r="E73" s="183"/>
      <c r="F73" s="183"/>
      <c r="G73" s="183"/>
      <c r="H73" s="183"/>
      <c r="I73" s="183"/>
      <c r="J73" s="183"/>
      <c r="K73" s="183"/>
      <c r="L73" s="154">
        <v>95183.6</v>
      </c>
      <c r="M73" s="154">
        <v>107290.5</v>
      </c>
      <c r="N73" s="154">
        <v>112000</v>
      </c>
      <c r="O73" s="154">
        <v>118000</v>
      </c>
      <c r="P73" s="154">
        <v>122000</v>
      </c>
      <c r="Q73" s="158">
        <v>122000</v>
      </c>
    </row>
    <row r="74" spans="1:17" s="133" customFormat="1" ht="15">
      <c r="A74" s="127" t="s">
        <v>98</v>
      </c>
      <c r="B74" s="128" t="s">
        <v>489</v>
      </c>
      <c r="L74" s="305">
        <v>73717.899999999994</v>
      </c>
      <c r="M74" s="305">
        <v>81462</v>
      </c>
      <c r="N74" s="305">
        <v>90000</v>
      </c>
      <c r="O74" s="305">
        <v>95000</v>
      </c>
      <c r="P74" s="305">
        <v>100000</v>
      </c>
      <c r="Q74" s="305">
        <v>100000</v>
      </c>
    </row>
    <row r="75" spans="1:17" s="133" customFormat="1" ht="15">
      <c r="A75" s="127" t="s">
        <v>423</v>
      </c>
      <c r="B75" s="128" t="s">
        <v>489</v>
      </c>
      <c r="L75" s="305">
        <v>76758.399999999994</v>
      </c>
      <c r="M75" s="305">
        <v>89664.5</v>
      </c>
      <c r="N75" s="305">
        <v>95000</v>
      </c>
      <c r="O75" s="305">
        <v>100000</v>
      </c>
      <c r="P75" s="305">
        <v>105000</v>
      </c>
      <c r="Q75" s="305">
        <v>105000</v>
      </c>
    </row>
    <row r="76" spans="1:17" s="133" customFormat="1" ht="15">
      <c r="A76" s="127" t="s">
        <v>424</v>
      </c>
      <c r="B76" s="128" t="s">
        <v>489</v>
      </c>
      <c r="L76" s="305">
        <v>74398.899999999994</v>
      </c>
      <c r="M76" s="305">
        <v>98365.5</v>
      </c>
      <c r="N76" s="305">
        <v>105000</v>
      </c>
      <c r="O76" s="305">
        <v>110000</v>
      </c>
      <c r="P76" s="305">
        <v>115000</v>
      </c>
      <c r="Q76" s="305">
        <v>115000</v>
      </c>
    </row>
    <row r="77" spans="1:17" s="133" customFormat="1" ht="15">
      <c r="A77" s="127" t="s">
        <v>414</v>
      </c>
      <c r="B77" s="128" t="s">
        <v>489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54">
        <v>65378.5</v>
      </c>
      <c r="M77" s="154">
        <v>80720.800000000003</v>
      </c>
      <c r="N77" s="154">
        <v>95000</v>
      </c>
      <c r="O77" s="154">
        <v>100000</v>
      </c>
      <c r="P77" s="154">
        <v>110000</v>
      </c>
      <c r="Q77" s="158">
        <v>110000</v>
      </c>
    </row>
    <row r="78" spans="1:17" s="133" customFormat="1" ht="15">
      <c r="A78" s="127" t="s">
        <v>253</v>
      </c>
      <c r="B78" s="128" t="s">
        <v>489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54">
        <v>75684.600000000006</v>
      </c>
      <c r="M78" s="154">
        <v>108000.6</v>
      </c>
      <c r="N78" s="154">
        <v>115000</v>
      </c>
      <c r="O78" s="154">
        <v>120000</v>
      </c>
      <c r="P78" s="154">
        <v>125000</v>
      </c>
      <c r="Q78" s="158">
        <v>125000</v>
      </c>
    </row>
    <row r="79" spans="1:17" s="125" customFormat="1" ht="15.75">
      <c r="A79" s="357" t="s">
        <v>425</v>
      </c>
      <c r="B79" s="378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80"/>
    </row>
    <row r="80" spans="1:17" s="133" customFormat="1" ht="15">
      <c r="A80" s="179" t="s">
        <v>254</v>
      </c>
      <c r="B80" s="128" t="s">
        <v>239</v>
      </c>
      <c r="C80" s="168" t="e">
        <f t="shared" ref="C80:Q80" si="10">SUM(C82+C83+C85)</f>
        <v>#REF!</v>
      </c>
      <c r="D80" s="168" t="e">
        <f t="shared" si="10"/>
        <v>#REF!</v>
      </c>
      <c r="E80" s="168" t="e">
        <f>SUM(E82+E83+E85)</f>
        <v>#REF!</v>
      </c>
      <c r="F80" s="168" t="e">
        <f>SUM(F82+F83+F85)</f>
        <v>#REF!</v>
      </c>
      <c r="G80" s="168" t="e">
        <f t="shared" si="10"/>
        <v>#REF!</v>
      </c>
      <c r="H80" s="210" t="e">
        <f t="shared" si="10"/>
        <v>#REF!</v>
      </c>
      <c r="I80" s="210" t="e">
        <f t="shared" si="10"/>
        <v>#REF!</v>
      </c>
      <c r="J80" s="210" t="e">
        <f t="shared" si="10"/>
        <v>#REF!</v>
      </c>
      <c r="K80" s="210" t="e">
        <f t="shared" si="10"/>
        <v>#REF!</v>
      </c>
      <c r="L80" s="210">
        <f t="shared" si="10"/>
        <v>3143.4989999999998</v>
      </c>
      <c r="M80" s="306">
        <f t="shared" si="10"/>
        <v>3125.1205999999997</v>
      </c>
      <c r="N80" s="306">
        <f t="shared" si="10"/>
        <v>3222.8670000000002</v>
      </c>
      <c r="O80" s="306">
        <f t="shared" si="10"/>
        <v>3336.712</v>
      </c>
      <c r="P80" s="306">
        <f t="shared" si="10"/>
        <v>3449.9470000000001</v>
      </c>
      <c r="Q80" s="307">
        <f t="shared" si="10"/>
        <v>3563.4459999999999</v>
      </c>
    </row>
    <row r="81" spans="1:17" s="133" customFormat="1" ht="15">
      <c r="A81" s="370" t="s">
        <v>255</v>
      </c>
      <c r="B81" s="372"/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3"/>
    </row>
    <row r="82" spans="1:17" s="133" customFormat="1" ht="15">
      <c r="A82" s="127" t="s">
        <v>426</v>
      </c>
      <c r="B82" s="128" t="s">
        <v>239</v>
      </c>
      <c r="C82" s="183" t="e">
        <f>#REF!</f>
        <v>#REF!</v>
      </c>
      <c r="D82" s="168" t="e">
        <f>#REF!</f>
        <v>#REF!</v>
      </c>
      <c r="E82" s="168" t="e">
        <f>#REF!</f>
        <v>#REF!</v>
      </c>
      <c r="F82" s="168" t="e">
        <f>#REF!</f>
        <v>#REF!</v>
      </c>
      <c r="G82" s="168" t="e">
        <f>#REF!</f>
        <v>#REF!</v>
      </c>
      <c r="H82" s="168" t="e">
        <f>#REF!</f>
        <v>#REF!</v>
      </c>
      <c r="I82" s="168" t="e">
        <f>#REF!</f>
        <v>#REF!</v>
      </c>
      <c r="J82" s="168" t="e">
        <f>#REF!</f>
        <v>#REF!</v>
      </c>
      <c r="K82" s="168" t="e">
        <f>#REF!</f>
        <v>#REF!</v>
      </c>
      <c r="L82" s="210">
        <v>2523.8789999999999</v>
      </c>
      <c r="M82" s="210">
        <v>2478.4825999999998</v>
      </c>
      <c r="N82" s="210">
        <v>2550</v>
      </c>
      <c r="O82" s="210">
        <v>2650</v>
      </c>
      <c r="P82" s="210">
        <v>2750</v>
      </c>
      <c r="Q82" s="211">
        <v>2850</v>
      </c>
    </row>
    <row r="83" spans="1:17" s="133" customFormat="1" ht="15">
      <c r="A83" s="127" t="s">
        <v>427</v>
      </c>
      <c r="B83" s="128" t="s">
        <v>239</v>
      </c>
      <c r="C83" s="168">
        <f>C84+2.4383</f>
        <v>103.4876</v>
      </c>
      <c r="D83" s="168">
        <v>236.63</v>
      </c>
      <c r="E83" s="168">
        <f>E84+39.27</f>
        <v>237.45200000000003</v>
      </c>
      <c r="F83" s="168">
        <f>F84+61.65</f>
        <v>290.25</v>
      </c>
      <c r="G83" s="168">
        <f>G84+52.87</f>
        <v>411.1</v>
      </c>
      <c r="H83" s="168">
        <f>H84+56.9+17</f>
        <v>477.29999999999995</v>
      </c>
      <c r="I83" s="168">
        <f>I84+100.286+30.983</f>
        <v>558.28499999999997</v>
      </c>
      <c r="J83" s="168">
        <f>J84+73.497+40.213</f>
        <v>573.47799999999995</v>
      </c>
      <c r="K83" s="168">
        <f>K84+82.252+52.986</f>
        <v>604.18099999999993</v>
      </c>
      <c r="L83" s="168">
        <f>L84+82.624</f>
        <v>599.62</v>
      </c>
      <c r="M83" s="168">
        <f>M84+83.826</f>
        <v>625.63800000000003</v>
      </c>
      <c r="N83" s="168">
        <f>N84+87.808</f>
        <v>649.86699999999996</v>
      </c>
      <c r="O83" s="168">
        <f>O84+89.742</f>
        <v>661.71199999999999</v>
      </c>
      <c r="P83" s="168">
        <f>P84+91.537</f>
        <v>674.947</v>
      </c>
      <c r="Q83" s="169">
        <f>Q84+93.368</f>
        <v>688.44599999999991</v>
      </c>
    </row>
    <row r="84" spans="1:17" s="133" customFormat="1" ht="15">
      <c r="A84" s="127" t="s">
        <v>428</v>
      </c>
      <c r="B84" s="128" t="s">
        <v>239</v>
      </c>
      <c r="C84" s="168">
        <v>101.0493</v>
      </c>
      <c r="D84" s="168">
        <v>233.31</v>
      </c>
      <c r="E84" s="168">
        <f>191.662+6.52</f>
        <v>198.18200000000002</v>
      </c>
      <c r="F84" s="168">
        <v>228.6</v>
      </c>
      <c r="G84" s="168">
        <v>358.23</v>
      </c>
      <c r="H84" s="168">
        <v>403.4</v>
      </c>
      <c r="I84" s="168">
        <v>427.01600000000002</v>
      </c>
      <c r="J84" s="168">
        <v>459.76799999999997</v>
      </c>
      <c r="K84" s="168">
        <v>468.94299999999998</v>
      </c>
      <c r="L84" s="168">
        <f>527.696-10.7</f>
        <v>516.99599999999998</v>
      </c>
      <c r="M84" s="168">
        <v>541.81200000000001</v>
      </c>
      <c r="N84" s="168">
        <v>562.05899999999997</v>
      </c>
      <c r="O84" s="168">
        <v>571.97</v>
      </c>
      <c r="P84" s="168">
        <v>583.41</v>
      </c>
      <c r="Q84" s="169">
        <v>595.07799999999997</v>
      </c>
    </row>
    <row r="85" spans="1:17" s="133" customFormat="1" ht="15">
      <c r="A85" s="127" t="s">
        <v>429</v>
      </c>
      <c r="B85" s="128" t="s">
        <v>239</v>
      </c>
      <c r="C85" s="212">
        <v>20</v>
      </c>
      <c r="D85" s="212">
        <v>20</v>
      </c>
      <c r="E85" s="213">
        <v>20</v>
      </c>
      <c r="F85" s="213">
        <f>2.614+2</f>
        <v>4.6139999999999999</v>
      </c>
      <c r="G85" s="213">
        <v>7</v>
      </c>
      <c r="H85" s="213">
        <v>8</v>
      </c>
      <c r="I85" s="213">
        <v>10</v>
      </c>
      <c r="J85" s="213">
        <v>17</v>
      </c>
      <c r="K85" s="213">
        <v>18</v>
      </c>
      <c r="L85" s="213">
        <v>20</v>
      </c>
      <c r="M85" s="213">
        <v>21</v>
      </c>
      <c r="N85" s="213">
        <v>23</v>
      </c>
      <c r="O85" s="213">
        <v>25</v>
      </c>
      <c r="P85" s="213">
        <v>25</v>
      </c>
      <c r="Q85" s="214">
        <v>25</v>
      </c>
    </row>
    <row r="86" spans="1:17" s="133" customFormat="1" ht="15">
      <c r="A86" s="127" t="s">
        <v>256</v>
      </c>
      <c r="B86" s="128" t="s">
        <v>257</v>
      </c>
      <c r="C86" s="183">
        <v>9856</v>
      </c>
      <c r="D86" s="215">
        <v>10800</v>
      </c>
      <c r="E86" s="215">
        <v>10961</v>
      </c>
      <c r="F86" s="216">
        <v>11114</v>
      </c>
      <c r="G86" s="216">
        <v>12157</v>
      </c>
      <c r="H86" s="217">
        <v>13381</v>
      </c>
      <c r="I86" s="217">
        <v>14568</v>
      </c>
      <c r="J86" s="217">
        <v>16537</v>
      </c>
      <c r="K86" s="217">
        <v>18072</v>
      </c>
      <c r="L86" s="217">
        <v>20194</v>
      </c>
      <c r="M86" s="217">
        <v>21563</v>
      </c>
      <c r="N86" s="217">
        <v>22808</v>
      </c>
      <c r="O86" s="217">
        <v>23768</v>
      </c>
      <c r="P86" s="217">
        <v>24770</v>
      </c>
      <c r="Q86" s="218">
        <v>25813</v>
      </c>
    </row>
    <row r="87" spans="1:17" s="133" customFormat="1" ht="15">
      <c r="A87" s="127" t="s">
        <v>258</v>
      </c>
      <c r="B87" s="128" t="s">
        <v>237</v>
      </c>
      <c r="C87" s="219" t="s">
        <v>259</v>
      </c>
      <c r="D87" s="219" t="s">
        <v>259</v>
      </c>
      <c r="E87" s="219" t="s">
        <v>260</v>
      </c>
      <c r="F87" s="220">
        <v>0.10199999999999999</v>
      </c>
      <c r="G87" s="220">
        <v>0.1</v>
      </c>
      <c r="H87" s="221">
        <v>9.2999999999999999E-2</v>
      </c>
      <c r="I87" s="221">
        <v>9.1999999999999998E-2</v>
      </c>
      <c r="J87" s="221">
        <v>8.5000000000000006E-2</v>
      </c>
      <c r="K87" s="221">
        <v>8.4000000000000005E-2</v>
      </c>
      <c r="L87" s="221">
        <v>8.3000000000000004E-2</v>
      </c>
      <c r="M87" s="221">
        <v>8.4000000000000005E-2</v>
      </c>
      <c r="N87" s="221">
        <v>8.3000000000000004E-2</v>
      </c>
      <c r="O87" s="221">
        <v>8.2000000000000003E-2</v>
      </c>
      <c r="P87" s="221">
        <v>8.1000000000000003E-2</v>
      </c>
      <c r="Q87" s="222">
        <v>0.08</v>
      </c>
    </row>
    <row r="88" spans="1:17" s="125" customFormat="1" ht="15.75">
      <c r="A88" s="357" t="s">
        <v>430</v>
      </c>
      <c r="B88" s="381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9"/>
    </row>
    <row r="89" spans="1:17" s="133" customFormat="1" ht="15">
      <c r="A89" s="127" t="s">
        <v>262</v>
      </c>
      <c r="B89" s="128" t="s">
        <v>263</v>
      </c>
      <c r="C89" s="223" t="s">
        <v>248</v>
      </c>
      <c r="D89" s="223">
        <v>0</v>
      </c>
      <c r="E89" s="224" t="s">
        <v>264</v>
      </c>
      <c r="F89" s="224" t="s">
        <v>264</v>
      </c>
      <c r="G89" s="224" t="s">
        <v>265</v>
      </c>
      <c r="H89" s="224" t="s">
        <v>264</v>
      </c>
      <c r="I89" s="224" t="s">
        <v>266</v>
      </c>
      <c r="J89" s="224" t="s">
        <v>264</v>
      </c>
      <c r="K89" s="224" t="s">
        <v>264</v>
      </c>
      <c r="L89" s="224" t="s">
        <v>431</v>
      </c>
      <c r="M89" s="225">
        <v>1226</v>
      </c>
      <c r="N89" s="225">
        <v>0</v>
      </c>
      <c r="O89" s="225">
        <v>0</v>
      </c>
      <c r="P89" s="225">
        <v>600</v>
      </c>
      <c r="Q89" s="226">
        <v>600</v>
      </c>
    </row>
    <row r="90" spans="1:17" s="133" customFormat="1" ht="15">
      <c r="A90" s="127" t="s">
        <v>267</v>
      </c>
      <c r="B90" s="128" t="s">
        <v>268</v>
      </c>
      <c r="C90" s="227">
        <v>28.35</v>
      </c>
      <c r="D90" s="227">
        <v>25.26</v>
      </c>
      <c r="E90" s="227">
        <f>(111299.91+31700.9)/E7/1000</f>
        <v>27.098883835512598</v>
      </c>
      <c r="F90" s="227">
        <f>134885.49/F7/1000</f>
        <v>25.202819506726453</v>
      </c>
      <c r="G90" s="227">
        <f>(133855.39+G89)/G7/1000</f>
        <v>26.107350709978608</v>
      </c>
      <c r="H90" s="174">
        <f>(131831.6+H89)/H7/1000</f>
        <v>25.366865499326533</v>
      </c>
      <c r="I90" s="174">
        <f>(123135.42+I89)/I7/1000</f>
        <v>24.201721983600155</v>
      </c>
      <c r="J90" s="174">
        <f>(131831.6+J89)/J7/1000</f>
        <v>27.385043622766929</v>
      </c>
      <c r="K90" s="174">
        <f>(127340.82+K89)/K7/1000</f>
        <v>27.139987212276214</v>
      </c>
      <c r="L90" s="174">
        <f>(122000)/L7/1000</f>
        <v>25.771018166455431</v>
      </c>
      <c r="M90" s="174">
        <f>(120200+M89)/M7/1000</f>
        <v>24.102024612941641</v>
      </c>
      <c r="N90" s="174">
        <f>(122916.08+N89)/N7/1000</f>
        <v>24.101192156862748</v>
      </c>
      <c r="O90" s="174">
        <f>(122916.08+O89)/O7/1000</f>
        <v>23.867199999999997</v>
      </c>
      <c r="P90" s="174">
        <f>(122916.08+P89)/P7/1000</f>
        <v>23.753092307692306</v>
      </c>
      <c r="Q90" s="174">
        <f>(123516.08+Q89)/Q7/1000</f>
        <v>23.641158095238097</v>
      </c>
    </row>
    <row r="91" spans="1:17" s="133" customFormat="1" ht="15">
      <c r="A91" s="127" t="s">
        <v>269</v>
      </c>
      <c r="B91" s="128" t="s">
        <v>239</v>
      </c>
      <c r="C91" s="224" t="s">
        <v>270</v>
      </c>
      <c r="D91" s="224" t="s">
        <v>271</v>
      </c>
      <c r="E91" s="227">
        <v>590.76790000000005</v>
      </c>
      <c r="F91" s="227">
        <v>616.69039999999995</v>
      </c>
      <c r="G91" s="187">
        <f>E91*105.9%</f>
        <v>625.62320610000017</v>
      </c>
      <c r="H91" s="228">
        <f>732.03/1.18</f>
        <v>620.36440677966107</v>
      </c>
      <c r="I91" s="228">
        <v>606.25199999999995</v>
      </c>
      <c r="J91" s="228">
        <v>504.87</v>
      </c>
      <c r="K91" s="228">
        <v>519.54</v>
      </c>
      <c r="L91" s="228">
        <v>535.21</v>
      </c>
      <c r="M91" s="228">
        <v>531.9</v>
      </c>
      <c r="N91" s="228">
        <v>531.9</v>
      </c>
      <c r="O91" s="228">
        <v>531.9</v>
      </c>
      <c r="P91" s="228">
        <v>531.9</v>
      </c>
      <c r="Q91" s="229">
        <v>531.9</v>
      </c>
    </row>
    <row r="92" spans="1:17" s="133" customFormat="1" ht="15">
      <c r="A92" s="127" t="s">
        <v>272</v>
      </c>
      <c r="B92" s="128" t="s">
        <v>237</v>
      </c>
      <c r="C92" s="219" t="s">
        <v>273</v>
      </c>
      <c r="D92" s="219" t="s">
        <v>274</v>
      </c>
      <c r="E92" s="219" t="s">
        <v>275</v>
      </c>
      <c r="F92" s="219" t="s">
        <v>276</v>
      </c>
      <c r="G92" s="219" t="s">
        <v>277</v>
      </c>
      <c r="H92" s="230">
        <v>0.28999999999999998</v>
      </c>
      <c r="I92" s="230">
        <v>0.24</v>
      </c>
      <c r="J92" s="230">
        <v>0.91669999999999996</v>
      </c>
      <c r="K92" s="230">
        <v>0.97599999999999998</v>
      </c>
      <c r="L92" s="221">
        <v>0.87480000000000002</v>
      </c>
      <c r="M92" s="221">
        <v>0.96699999999999997</v>
      </c>
      <c r="N92" s="221">
        <v>0.96699999999999997</v>
      </c>
      <c r="O92" s="221">
        <v>0.96699999999999997</v>
      </c>
      <c r="P92" s="221">
        <v>0.96699999999999997</v>
      </c>
      <c r="Q92" s="222">
        <v>0.96699999999999997</v>
      </c>
    </row>
    <row r="93" spans="1:17" s="133" customFormat="1" ht="15">
      <c r="A93" s="127" t="s">
        <v>278</v>
      </c>
      <c r="B93" s="128" t="s">
        <v>250</v>
      </c>
      <c r="C93" s="224" t="s">
        <v>279</v>
      </c>
      <c r="D93" s="224" t="s">
        <v>280</v>
      </c>
      <c r="E93" s="227">
        <f>172+405+49+219+21+101+33+39+199</f>
        <v>1238</v>
      </c>
      <c r="F93" s="227">
        <v>1212</v>
      </c>
      <c r="G93" s="225">
        <f>189+390+537</f>
        <v>1116</v>
      </c>
      <c r="H93" s="225">
        <f>202+506+53+419</f>
        <v>1180</v>
      </c>
      <c r="I93" s="225">
        <f>198+412+483</f>
        <v>1093</v>
      </c>
      <c r="J93" s="225">
        <f>192+361+460</f>
        <v>1013</v>
      </c>
      <c r="K93" s="225">
        <f>195+842</f>
        <v>1037</v>
      </c>
      <c r="L93" s="225">
        <f>200+851</f>
        <v>1051</v>
      </c>
      <c r="M93" s="225">
        <f>195+832</f>
        <v>1027</v>
      </c>
      <c r="N93" s="225">
        <f>200+827</f>
        <v>1027</v>
      </c>
      <c r="O93" s="225">
        <f>200+838</f>
        <v>1038</v>
      </c>
      <c r="P93" s="225">
        <v>1038</v>
      </c>
      <c r="Q93" s="226">
        <v>1038</v>
      </c>
    </row>
    <row r="94" spans="1:17" s="133" customFormat="1" ht="15">
      <c r="A94" s="127" t="s">
        <v>281</v>
      </c>
      <c r="B94" s="128" t="s">
        <v>250</v>
      </c>
      <c r="C94" s="224"/>
      <c r="D94" s="224"/>
      <c r="E94" s="224"/>
      <c r="F94" s="224"/>
      <c r="G94" s="224"/>
      <c r="H94" s="224" t="s">
        <v>282</v>
      </c>
      <c r="I94" s="224" t="s">
        <v>283</v>
      </c>
      <c r="J94" s="224" t="s">
        <v>284</v>
      </c>
      <c r="K94" s="224" t="s">
        <v>376</v>
      </c>
      <c r="L94" s="224" t="s">
        <v>432</v>
      </c>
      <c r="M94" s="224" t="s">
        <v>490</v>
      </c>
      <c r="N94" s="224" t="s">
        <v>491</v>
      </c>
      <c r="O94" s="224" t="s">
        <v>492</v>
      </c>
      <c r="P94" s="224" t="s">
        <v>492</v>
      </c>
      <c r="Q94" s="231" t="s">
        <v>492</v>
      </c>
    </row>
    <row r="95" spans="1:17" s="133" customFormat="1" ht="15">
      <c r="A95" s="370" t="s">
        <v>285</v>
      </c>
      <c r="B95" s="371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82"/>
    </row>
    <row r="96" spans="1:17" s="133" customFormat="1" ht="15">
      <c r="A96" s="127" t="s">
        <v>433</v>
      </c>
      <c r="B96" s="128" t="s">
        <v>286</v>
      </c>
      <c r="C96" s="213">
        <v>22.5</v>
      </c>
      <c r="D96" s="213">
        <v>11</v>
      </c>
      <c r="E96" s="213">
        <v>11</v>
      </c>
      <c r="F96" s="213">
        <f>62/F7</f>
        <v>11.584454409566517</v>
      </c>
      <c r="G96" s="213">
        <f>62/G7</f>
        <v>12.059910523244504</v>
      </c>
      <c r="H96" s="232">
        <f>62/H7</f>
        <v>11.929959592072349</v>
      </c>
      <c r="I96" s="232">
        <f t="shared" ref="I96:Q96" si="11">52/I7</f>
        <v>10.152284263959391</v>
      </c>
      <c r="J96" s="232">
        <f t="shared" si="11"/>
        <v>10.80182800166182</v>
      </c>
      <c r="K96" s="232">
        <f t="shared" si="11"/>
        <v>11.082693947144074</v>
      </c>
      <c r="L96" s="232">
        <f>52/L7</f>
        <v>10.984368398817068</v>
      </c>
      <c r="M96" s="232">
        <f>52/M7</f>
        <v>10.321556173084558</v>
      </c>
      <c r="N96" s="232">
        <f>52/N7</f>
        <v>10.19607843137255</v>
      </c>
      <c r="O96" s="232">
        <f t="shared" si="11"/>
        <v>10.097087378640776</v>
      </c>
      <c r="P96" s="232">
        <f t="shared" si="11"/>
        <v>10</v>
      </c>
      <c r="Q96" s="233">
        <f t="shared" si="11"/>
        <v>9.9047619047619051</v>
      </c>
    </row>
    <row r="97" spans="1:17" s="133" customFormat="1" ht="15">
      <c r="A97" s="138" t="s">
        <v>434</v>
      </c>
      <c r="B97" s="128" t="s">
        <v>287</v>
      </c>
      <c r="C97" s="213">
        <v>63.6</v>
      </c>
      <c r="D97" s="213">
        <v>42</v>
      </c>
      <c r="E97" s="213">
        <f>132.1/4.937</f>
        <v>26.75713996354061</v>
      </c>
      <c r="F97" s="234">
        <f>143/2.983</f>
        <v>47.938317130405629</v>
      </c>
      <c r="G97" s="234">
        <f>150/2.734</f>
        <v>54.864667154352595</v>
      </c>
      <c r="H97" s="235">
        <f>183.2/3.414</f>
        <v>53.661394258933797</v>
      </c>
      <c r="I97" s="235">
        <f>185.2/3.469</f>
        <v>53.387143268953587</v>
      </c>
      <c r="J97" s="235">
        <f>242.2/3.231</f>
        <v>74.961312287217581</v>
      </c>
      <c r="K97" s="235">
        <f>237/3.405</f>
        <v>69.603524229074893</v>
      </c>
      <c r="L97" s="235">
        <f>237/3.785</f>
        <v>62.615587846763539</v>
      </c>
      <c r="M97" s="235">
        <f>222/3.785</f>
        <v>58.652575957727869</v>
      </c>
      <c r="N97" s="235">
        <f>241/4.078</f>
        <v>59.097596861206469</v>
      </c>
      <c r="O97" s="235">
        <f>241/4.078</f>
        <v>59.097596861206469</v>
      </c>
      <c r="P97" s="235">
        <f>241/4.078</f>
        <v>59.097596861206469</v>
      </c>
      <c r="Q97" s="235">
        <f>241/4.078</f>
        <v>59.097596861206469</v>
      </c>
    </row>
    <row r="98" spans="1:17" s="133" customFormat="1" ht="15">
      <c r="A98" s="138" t="s">
        <v>435</v>
      </c>
      <c r="B98" s="128" t="s">
        <v>287</v>
      </c>
      <c r="C98" s="213">
        <v>4</v>
      </c>
      <c r="D98" s="213">
        <v>4</v>
      </c>
      <c r="E98" s="213">
        <f>11.8/0.34</f>
        <v>34.705882352941174</v>
      </c>
      <c r="F98" s="213">
        <f>24.4/0.742</f>
        <v>32.884097035040426</v>
      </c>
      <c r="G98" s="213">
        <f>22.4/((176+376+211+159)/1000)</f>
        <v>24.295010845986983</v>
      </c>
      <c r="H98" s="236">
        <f>29.6/((367+175+157+210)/1000)</f>
        <v>32.563256325632565</v>
      </c>
      <c r="I98" s="236">
        <f>28.1/((350+169+159+208)/1000)</f>
        <v>31.715575620767495</v>
      </c>
      <c r="J98" s="236">
        <f>33.1/0.85</f>
        <v>38.941176470588239</v>
      </c>
      <c r="K98" s="236">
        <f>28.8/0.782</f>
        <v>36.828644501278774</v>
      </c>
      <c r="L98" s="236">
        <f>31/0.809</f>
        <v>38.318912237330032</v>
      </c>
      <c r="M98" s="236">
        <f>28.2/0.809</f>
        <v>34.857849196538936</v>
      </c>
      <c r="N98" s="236">
        <f>33.4/0.83</f>
        <v>40.24096385542169</v>
      </c>
      <c r="O98" s="236">
        <f>33.4/0.83</f>
        <v>40.24096385542169</v>
      </c>
      <c r="P98" s="236">
        <f>33.4/0.83</f>
        <v>40.24096385542169</v>
      </c>
      <c r="Q98" s="236">
        <f>33.4/0.83</f>
        <v>40.24096385542169</v>
      </c>
    </row>
    <row r="99" spans="1:17" s="133" customFormat="1" ht="15">
      <c r="A99" s="138" t="s">
        <v>436</v>
      </c>
      <c r="B99" s="128" t="s">
        <v>288</v>
      </c>
      <c r="C99" s="213">
        <v>5.8</v>
      </c>
      <c r="D99" s="213">
        <v>4</v>
      </c>
      <c r="E99" s="213">
        <f>26/E7</f>
        <v>4.9270418798559783</v>
      </c>
      <c r="F99" s="213">
        <f>25/F7</f>
        <v>4.6711509715994017</v>
      </c>
      <c r="G99" s="213">
        <f>29/G7</f>
        <v>5.6409258899046879</v>
      </c>
      <c r="H99" s="213">
        <f>29/H7</f>
        <v>5.580142389840292</v>
      </c>
      <c r="I99" s="213">
        <f>28/I7</f>
        <v>5.4666146036704415</v>
      </c>
      <c r="J99" s="213">
        <f>26/J7</f>
        <v>5.4009140008309098</v>
      </c>
      <c r="K99" s="213">
        <f>28/K7</f>
        <v>5.9676044330775788</v>
      </c>
      <c r="L99" s="213">
        <f>30/L7</f>
        <v>6.3371356147021549</v>
      </c>
      <c r="M99" s="213">
        <f>29/M7</f>
        <v>5.7562524811433109</v>
      </c>
      <c r="N99" s="213">
        <f>29/N7</f>
        <v>5.6862745098039218</v>
      </c>
      <c r="O99" s="213">
        <f>29/O7</f>
        <v>5.6310679611650478</v>
      </c>
      <c r="P99" s="213">
        <f>29/P7</f>
        <v>5.5769230769230766</v>
      </c>
      <c r="Q99" s="214">
        <f>29/Q7</f>
        <v>5.5238095238095237</v>
      </c>
    </row>
    <row r="100" spans="1:17" s="133" customFormat="1" ht="15">
      <c r="A100" s="138" t="s">
        <v>437</v>
      </c>
      <c r="B100" s="128" t="s">
        <v>288</v>
      </c>
      <c r="C100" s="213">
        <v>17.3</v>
      </c>
      <c r="D100" s="213">
        <v>11</v>
      </c>
      <c r="E100" s="213">
        <f>96/E7</f>
        <v>18.192154633314384</v>
      </c>
      <c r="F100" s="213">
        <f>85/F7</f>
        <v>15.881913303437965</v>
      </c>
      <c r="G100" s="213">
        <f>83/G7</f>
        <v>16.144718926278934</v>
      </c>
      <c r="H100" s="213">
        <f>85/H7</f>
        <v>16.355589763324996</v>
      </c>
      <c r="I100" s="213">
        <f>86/I7</f>
        <v>16.790316282702069</v>
      </c>
      <c r="J100" s="213">
        <f>84/J7</f>
        <v>17.449106771915247</v>
      </c>
      <c r="K100" s="213">
        <f>84/K7</f>
        <v>17.902813299232736</v>
      </c>
      <c r="L100" s="213">
        <f>81/L7</f>
        <v>17.110266159695819</v>
      </c>
      <c r="M100" s="213">
        <f>80/M7</f>
        <v>15.879317189360856</v>
      </c>
      <c r="N100" s="213">
        <f>84/N7</f>
        <v>16.47058823529412</v>
      </c>
      <c r="O100" s="213">
        <f>85/O7</f>
        <v>16.504854368932037</v>
      </c>
      <c r="P100" s="213">
        <f>85/P7</f>
        <v>16.346153846153847</v>
      </c>
      <c r="Q100" s="214">
        <f>88/Q7</f>
        <v>16.761904761904763</v>
      </c>
    </row>
    <row r="101" spans="1:17" s="133" customFormat="1" ht="15">
      <c r="A101" s="138" t="s">
        <v>438</v>
      </c>
      <c r="B101" s="128" t="s">
        <v>289</v>
      </c>
      <c r="C101" s="213">
        <v>2</v>
      </c>
      <c r="D101" s="213">
        <v>2</v>
      </c>
      <c r="E101" s="213">
        <v>2</v>
      </c>
      <c r="F101" s="213">
        <f>9/F7</f>
        <v>1.6816143497757847</v>
      </c>
      <c r="G101" s="236">
        <f t="shared" ref="G101:Q101" si="12">7/G7</f>
        <v>1.3616028010114765</v>
      </c>
      <c r="H101" s="236">
        <f t="shared" si="12"/>
        <v>1.3469309216855878</v>
      </c>
      <c r="I101" s="236">
        <f t="shared" si="12"/>
        <v>1.3666536509176104</v>
      </c>
      <c r="J101" s="236">
        <f t="shared" si="12"/>
        <v>1.4540922309929372</v>
      </c>
      <c r="K101" s="236">
        <f t="shared" si="12"/>
        <v>1.4919011082693947</v>
      </c>
      <c r="L101" s="236">
        <f>7/L7</f>
        <v>1.478664976763836</v>
      </c>
      <c r="M101" s="236">
        <f>7/M7</f>
        <v>1.3894402540690749</v>
      </c>
      <c r="N101" s="236">
        <f>7/N7</f>
        <v>1.3725490196078431</v>
      </c>
      <c r="O101" s="236">
        <f t="shared" si="12"/>
        <v>1.3592233009708736</v>
      </c>
      <c r="P101" s="236">
        <f t="shared" si="12"/>
        <v>1.346153846153846</v>
      </c>
      <c r="Q101" s="237">
        <f t="shared" si="12"/>
        <v>1.3333333333333333</v>
      </c>
    </row>
    <row r="102" spans="1:17" s="133" customFormat="1" ht="15">
      <c r="A102" s="138" t="s">
        <v>439</v>
      </c>
      <c r="B102" s="128" t="s">
        <v>289</v>
      </c>
      <c r="C102" s="213">
        <v>1.75</v>
      </c>
      <c r="D102" s="213">
        <v>1.75</v>
      </c>
      <c r="E102" s="213">
        <v>1.75</v>
      </c>
      <c r="F102" s="213">
        <f>8/F7</f>
        <v>1.4947683109118086</v>
      </c>
      <c r="G102" s="236">
        <f t="shared" ref="G102:Q102" si="13">7/G7</f>
        <v>1.3616028010114765</v>
      </c>
      <c r="H102" s="236">
        <f t="shared" si="13"/>
        <v>1.3469309216855878</v>
      </c>
      <c r="I102" s="236">
        <f>7/I7</f>
        <v>1.3666536509176104</v>
      </c>
      <c r="J102" s="236">
        <f t="shared" si="13"/>
        <v>1.4540922309929372</v>
      </c>
      <c r="K102" s="236">
        <f t="shared" si="13"/>
        <v>1.4919011082693947</v>
      </c>
      <c r="L102" s="236">
        <f>7/L7</f>
        <v>1.478664976763836</v>
      </c>
      <c r="M102" s="236">
        <f>7/M7</f>
        <v>1.3894402540690749</v>
      </c>
      <c r="N102" s="236">
        <f>7/N7</f>
        <v>1.3725490196078431</v>
      </c>
      <c r="O102" s="236">
        <f t="shared" si="13"/>
        <v>1.3592233009708736</v>
      </c>
      <c r="P102" s="236">
        <f t="shared" si="13"/>
        <v>1.346153846153846</v>
      </c>
      <c r="Q102" s="237">
        <f t="shared" si="13"/>
        <v>1.3333333333333333</v>
      </c>
    </row>
    <row r="103" spans="1:17" s="133" customFormat="1" ht="15">
      <c r="A103" s="127" t="s">
        <v>290</v>
      </c>
      <c r="B103" s="128" t="s">
        <v>291</v>
      </c>
      <c r="C103" s="219" t="s">
        <v>292</v>
      </c>
      <c r="D103" s="219" t="s">
        <v>292</v>
      </c>
      <c r="E103" s="219" t="s">
        <v>292</v>
      </c>
      <c r="F103" s="219" t="s">
        <v>292</v>
      </c>
      <c r="G103" s="238" t="s">
        <v>292</v>
      </c>
      <c r="H103" s="238" t="s">
        <v>292</v>
      </c>
      <c r="I103" s="238" t="s">
        <v>292</v>
      </c>
      <c r="J103" s="238" t="s">
        <v>292</v>
      </c>
      <c r="K103" s="238" t="s">
        <v>292</v>
      </c>
      <c r="L103" s="238" t="s">
        <v>292</v>
      </c>
      <c r="M103" s="238" t="s">
        <v>292</v>
      </c>
      <c r="N103" s="238" t="s">
        <v>292</v>
      </c>
      <c r="O103" s="238" t="s">
        <v>292</v>
      </c>
      <c r="P103" s="238" t="s">
        <v>292</v>
      </c>
      <c r="Q103" s="239" t="s">
        <v>292</v>
      </c>
    </row>
    <row r="104" spans="1:17" s="125" customFormat="1">
      <c r="A104" s="357" t="s">
        <v>440</v>
      </c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9"/>
    </row>
    <row r="105" spans="1:17" s="133" customFormat="1" ht="15">
      <c r="A105" s="240" t="s">
        <v>294</v>
      </c>
      <c r="B105" s="128" t="s">
        <v>295</v>
      </c>
      <c r="C105" s="187">
        <v>67.91</v>
      </c>
      <c r="D105" s="187">
        <f t="shared" ref="D105:Q105" si="14">SUM(D107+D108)</f>
        <v>89.86</v>
      </c>
      <c r="E105" s="187">
        <f>SUM(E107+E108)</f>
        <v>90.25200000000001</v>
      </c>
      <c r="F105" s="187">
        <f>SUM(F107+F108)</f>
        <v>82.804000000000002</v>
      </c>
      <c r="G105" s="187">
        <f t="shared" si="14"/>
        <v>74.045000000000002</v>
      </c>
      <c r="H105" s="187">
        <f t="shared" si="14"/>
        <v>81.573000000000008</v>
      </c>
      <c r="I105" s="241">
        <f t="shared" si="14"/>
        <v>79.580000000000013</v>
      </c>
      <c r="J105" s="241">
        <f t="shared" si="14"/>
        <v>78.180000000000007</v>
      </c>
      <c r="K105" s="241">
        <f t="shared" si="14"/>
        <v>71.599999999999994</v>
      </c>
      <c r="L105" s="241">
        <f t="shared" si="14"/>
        <v>73.3</v>
      </c>
      <c r="M105" s="241">
        <f t="shared" si="14"/>
        <v>74</v>
      </c>
      <c r="N105" s="241">
        <f t="shared" si="14"/>
        <v>79.100000000000009</v>
      </c>
      <c r="O105" s="241">
        <f t="shared" si="14"/>
        <v>73.900000000000006</v>
      </c>
      <c r="P105" s="241">
        <f t="shared" si="14"/>
        <v>74.699999999999989</v>
      </c>
      <c r="Q105" s="242">
        <f t="shared" si="14"/>
        <v>75.39</v>
      </c>
    </row>
    <row r="106" spans="1:17" s="133" customFormat="1" ht="15">
      <c r="A106" s="370" t="s">
        <v>441</v>
      </c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3"/>
    </row>
    <row r="107" spans="1:17" s="133" customFormat="1" ht="15">
      <c r="A107" s="127" t="s">
        <v>296</v>
      </c>
      <c r="B107" s="128" t="s">
        <v>295</v>
      </c>
      <c r="C107" s="243">
        <v>52.2806</v>
      </c>
      <c r="D107" s="244">
        <v>76.52</v>
      </c>
      <c r="E107" s="243">
        <v>76.132000000000005</v>
      </c>
      <c r="F107" s="243">
        <v>70.33</v>
      </c>
      <c r="G107" s="243">
        <v>61.095999999999997</v>
      </c>
      <c r="H107" s="243">
        <v>70.483000000000004</v>
      </c>
      <c r="I107" s="245">
        <v>68.540000000000006</v>
      </c>
      <c r="J107" s="245">
        <v>68.23</v>
      </c>
      <c r="K107" s="245">
        <v>61</v>
      </c>
      <c r="L107" s="245">
        <v>63.18</v>
      </c>
      <c r="M107" s="245">
        <v>64.3</v>
      </c>
      <c r="N107" s="245">
        <v>69.400000000000006</v>
      </c>
      <c r="O107" s="245">
        <v>66.400000000000006</v>
      </c>
      <c r="P107" s="245">
        <v>67.099999999999994</v>
      </c>
      <c r="Q107" s="246">
        <v>67.73</v>
      </c>
    </row>
    <row r="108" spans="1:17" s="133" customFormat="1" ht="15">
      <c r="A108" s="127" t="s">
        <v>297</v>
      </c>
      <c r="B108" s="128" t="s">
        <v>295</v>
      </c>
      <c r="C108" s="187">
        <v>15.6325</v>
      </c>
      <c r="D108" s="187">
        <v>13.34</v>
      </c>
      <c r="E108" s="187">
        <f>13.396+0.724</f>
        <v>14.120000000000001</v>
      </c>
      <c r="F108" s="187">
        <f>12.421+0.053</f>
        <v>12.474</v>
      </c>
      <c r="G108" s="187">
        <f>0.02+12.929</f>
        <v>12.949</v>
      </c>
      <c r="H108" s="187">
        <f>11+0.03+0.06</f>
        <v>11.09</v>
      </c>
      <c r="I108" s="247">
        <f>11.04</f>
        <v>11.04</v>
      </c>
      <c r="J108" s="247">
        <v>9.9499999999999993</v>
      </c>
      <c r="K108" s="247">
        <v>10.6</v>
      </c>
      <c r="L108" s="247">
        <v>10.119999999999999</v>
      </c>
      <c r="M108" s="247">
        <v>9.6999999999999993</v>
      </c>
      <c r="N108" s="247">
        <v>9.6999999999999993</v>
      </c>
      <c r="O108" s="202">
        <v>7.5</v>
      </c>
      <c r="P108" s="248">
        <v>7.6</v>
      </c>
      <c r="Q108" s="249">
        <v>7.66</v>
      </c>
    </row>
    <row r="109" spans="1:17" s="133" customFormat="1" ht="15">
      <c r="A109" s="250" t="s">
        <v>298</v>
      </c>
      <c r="B109" s="251" t="s">
        <v>299</v>
      </c>
      <c r="C109" s="248">
        <f>97.573+61.513</f>
        <v>159.08599999999998</v>
      </c>
      <c r="D109" s="248">
        <v>144.6</v>
      </c>
      <c r="E109" s="248">
        <f>53.658+92.861</f>
        <v>146.51900000000001</v>
      </c>
      <c r="F109" s="248">
        <f>58.455+104.417</f>
        <v>162.87200000000001</v>
      </c>
      <c r="G109" s="248">
        <f>111.751+46.459</f>
        <v>158.21</v>
      </c>
      <c r="H109" s="248">
        <f>51.1+100.8+8</f>
        <v>159.9</v>
      </c>
      <c r="I109" s="248">
        <v>133.9</v>
      </c>
      <c r="J109" s="248">
        <v>135.30000000000001</v>
      </c>
      <c r="K109" s="248">
        <v>125.2</v>
      </c>
      <c r="L109" s="248">
        <v>124.4</v>
      </c>
      <c r="M109" s="248">
        <v>121.1</v>
      </c>
      <c r="N109" s="248">
        <v>123.4</v>
      </c>
      <c r="O109" s="248">
        <v>126.4</v>
      </c>
      <c r="P109" s="248">
        <v>127.7</v>
      </c>
      <c r="Q109" s="249">
        <v>128.9</v>
      </c>
    </row>
    <row r="110" spans="1:17" s="133" customFormat="1" ht="15">
      <c r="A110" s="250" t="s">
        <v>300</v>
      </c>
      <c r="B110" s="251" t="s">
        <v>299</v>
      </c>
      <c r="C110" s="248">
        <f>84.698+45.037</f>
        <v>129.73499999999999</v>
      </c>
      <c r="D110" s="248">
        <v>124.7</v>
      </c>
      <c r="E110" s="248">
        <f>38.439+80.325</f>
        <v>118.76400000000001</v>
      </c>
      <c r="F110" s="248">
        <f>44.179+92.738</f>
        <v>136.917</v>
      </c>
      <c r="G110" s="248">
        <f>107.204+37.565</f>
        <v>144.76900000000001</v>
      </c>
      <c r="H110" s="248">
        <f>40.1+96.346</f>
        <v>136.446</v>
      </c>
      <c r="I110" s="248">
        <v>120.5</v>
      </c>
      <c r="J110" s="248">
        <v>127.1</v>
      </c>
      <c r="K110" s="248">
        <v>116.4</v>
      </c>
      <c r="L110" s="248">
        <v>114.3</v>
      </c>
      <c r="M110" s="248">
        <v>109.9</v>
      </c>
      <c r="N110" s="248">
        <v>111</v>
      </c>
      <c r="O110" s="248">
        <v>114</v>
      </c>
      <c r="P110" s="248">
        <v>115.1</v>
      </c>
      <c r="Q110" s="249">
        <v>116.2</v>
      </c>
    </row>
    <row r="111" spans="1:17" s="133" customFormat="1" ht="15">
      <c r="A111" s="127" t="s">
        <v>301</v>
      </c>
      <c r="B111" s="128" t="s">
        <v>302</v>
      </c>
      <c r="C111" s="223">
        <f>264+5.7+490+50</f>
        <v>809.7</v>
      </c>
      <c r="D111" s="252">
        <f>128+470+16.3+130</f>
        <v>744.3</v>
      </c>
      <c r="E111" s="252">
        <v>793.2</v>
      </c>
      <c r="F111" s="252">
        <v>837.79</v>
      </c>
      <c r="G111" s="241">
        <v>1089.5050000000001</v>
      </c>
      <c r="H111" s="241">
        <f>692.8+45.21+165+169</f>
        <v>1072.01</v>
      </c>
      <c r="I111" s="253">
        <f>611.08+35.796+211.3+190.667</f>
        <v>1048.8430000000001</v>
      </c>
      <c r="J111" s="253">
        <v>1007.06</v>
      </c>
      <c r="K111" s="253">
        <v>985.84900000000005</v>
      </c>
      <c r="L111" s="253">
        <v>1063.7</v>
      </c>
      <c r="M111" s="308">
        <v>1149.95</v>
      </c>
      <c r="N111" s="308">
        <v>1050</v>
      </c>
      <c r="O111" s="308">
        <v>1100</v>
      </c>
      <c r="P111" s="308">
        <v>1100</v>
      </c>
      <c r="Q111" s="309">
        <v>1100</v>
      </c>
    </row>
    <row r="112" spans="1:17" s="133" customFormat="1" ht="15">
      <c r="A112" s="127" t="s">
        <v>304</v>
      </c>
      <c r="B112" s="128" t="s">
        <v>305</v>
      </c>
      <c r="C112" s="241">
        <f>175+32+50+3</f>
        <v>260</v>
      </c>
      <c r="D112" s="241">
        <v>230.3</v>
      </c>
      <c r="E112" s="241">
        <f>242+69+46+52.339</f>
        <v>409.339</v>
      </c>
      <c r="F112" s="241">
        <v>413.2</v>
      </c>
      <c r="G112" s="241">
        <v>337</v>
      </c>
      <c r="H112" s="241">
        <v>275.31</v>
      </c>
      <c r="I112" s="241">
        <v>293.94</v>
      </c>
      <c r="J112" s="241">
        <v>282</v>
      </c>
      <c r="K112" s="241">
        <v>241.9</v>
      </c>
      <c r="L112" s="241">
        <v>256.5</v>
      </c>
      <c r="M112" s="241">
        <v>156.69999999999999</v>
      </c>
      <c r="N112" s="241">
        <v>239.5</v>
      </c>
      <c r="O112" s="241">
        <v>278.5</v>
      </c>
      <c r="P112" s="241">
        <v>278.5</v>
      </c>
      <c r="Q112" s="242">
        <v>278.5</v>
      </c>
    </row>
    <row r="113" spans="1:17" s="133" customFormat="1" ht="15">
      <c r="A113" s="127" t="s">
        <v>306</v>
      </c>
      <c r="B113" s="128" t="s">
        <v>305</v>
      </c>
      <c r="C113" s="223" t="s">
        <v>248</v>
      </c>
      <c r="D113" s="223">
        <v>6</v>
      </c>
      <c r="E113" s="223">
        <v>59.9</v>
      </c>
      <c r="F113" s="223">
        <v>54</v>
      </c>
      <c r="G113" s="223">
        <v>56.1</v>
      </c>
      <c r="H113" s="223">
        <v>56.4</v>
      </c>
      <c r="I113" s="223">
        <v>60.7</v>
      </c>
      <c r="J113" s="223">
        <v>56.4</v>
      </c>
      <c r="K113" s="223">
        <v>65</v>
      </c>
      <c r="L113" s="223">
        <v>54.5</v>
      </c>
      <c r="M113" s="223">
        <v>45.2</v>
      </c>
      <c r="N113" s="223">
        <v>40.47</v>
      </c>
      <c r="O113" s="223">
        <v>42.49</v>
      </c>
      <c r="P113" s="223">
        <v>42.49</v>
      </c>
      <c r="Q113" s="254">
        <v>42.49</v>
      </c>
    </row>
    <row r="114" spans="1:17" s="133" customFormat="1" ht="15">
      <c r="A114" s="203" t="s">
        <v>493</v>
      </c>
      <c r="B114" s="204" t="s">
        <v>494</v>
      </c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>
        <v>40</v>
      </c>
      <c r="O114" s="310">
        <f>15*6+30*6</f>
        <v>270</v>
      </c>
      <c r="P114" s="310">
        <f>50*12</f>
        <v>600</v>
      </c>
      <c r="Q114" s="311">
        <f>50*12</f>
        <v>600</v>
      </c>
    </row>
    <row r="115" spans="1:17" s="133" customFormat="1" ht="15.75" thickBot="1">
      <c r="A115" s="255" t="s">
        <v>307</v>
      </c>
      <c r="B115" s="256" t="s">
        <v>305</v>
      </c>
      <c r="C115" s="257">
        <f>215.48+82</f>
        <v>297.48</v>
      </c>
      <c r="D115" s="257">
        <v>282.68</v>
      </c>
      <c r="E115" s="257">
        <v>267.94600000000003</v>
      </c>
      <c r="F115" s="257">
        <v>247.77</v>
      </c>
      <c r="G115" s="257">
        <v>244.35</v>
      </c>
      <c r="H115" s="257">
        <v>236.47</v>
      </c>
      <c r="I115" s="257">
        <v>239.7</v>
      </c>
      <c r="J115" s="257">
        <v>250.97</v>
      </c>
      <c r="K115" s="257">
        <v>243.36</v>
      </c>
      <c r="L115" s="257">
        <v>246.7</v>
      </c>
      <c r="M115" s="312">
        <v>248.3</v>
      </c>
      <c r="N115" s="312">
        <v>254.22</v>
      </c>
      <c r="O115" s="312">
        <v>266.92</v>
      </c>
      <c r="P115" s="312">
        <v>266.92</v>
      </c>
      <c r="Q115" s="312">
        <v>266.92</v>
      </c>
    </row>
    <row r="131" spans="2:227">
      <c r="J131" s="46">
        <f>2763*0.74</f>
        <v>2044.62</v>
      </c>
    </row>
    <row r="134" spans="2:227" s="50" customFormat="1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</row>
    <row r="135" spans="2:227" s="50" customFormat="1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</row>
    <row r="136" spans="2:227" s="50" customFormat="1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</row>
    <row r="137" spans="2:227" s="50" customFormat="1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</row>
    <row r="138" spans="2:227" s="50" customFormat="1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</row>
    <row r="139" spans="2:227" s="50" customFormat="1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</row>
  </sheetData>
  <mergeCells count="37">
    <mergeCell ref="A106:Q106"/>
    <mergeCell ref="A60:P60"/>
    <mergeCell ref="A79:Q79"/>
    <mergeCell ref="A81:Q81"/>
    <mergeCell ref="A88:Q88"/>
    <mergeCell ref="A95:Q95"/>
    <mergeCell ref="A104:Q104"/>
    <mergeCell ref="A58:Q58"/>
    <mergeCell ref="A29:Q29"/>
    <mergeCell ref="A31:B31"/>
    <mergeCell ref="A33:B33"/>
    <mergeCell ref="A35:Q35"/>
    <mergeCell ref="A39:Q39"/>
    <mergeCell ref="A41:B41"/>
    <mergeCell ref="A42:Q42"/>
    <mergeCell ref="A45:Q45"/>
    <mergeCell ref="A47:Q47"/>
    <mergeCell ref="A49:Q49"/>
    <mergeCell ref="A54:Q54"/>
    <mergeCell ref="A28:B28"/>
    <mergeCell ref="A8:B8"/>
    <mergeCell ref="A10:B10"/>
    <mergeCell ref="A12:Q12"/>
    <mergeCell ref="A13:Q13"/>
    <mergeCell ref="A15:B15"/>
    <mergeCell ref="A16:Q16"/>
    <mergeCell ref="A17:Q17"/>
    <mergeCell ref="A19:B19"/>
    <mergeCell ref="A20:Q20"/>
    <mergeCell ref="A22:Q22"/>
    <mergeCell ref="A26:Q26"/>
    <mergeCell ref="A6:Q6"/>
    <mergeCell ref="O1:Q1"/>
    <mergeCell ref="A3:Q3"/>
    <mergeCell ref="A4:A5"/>
    <mergeCell ref="B4:B5"/>
    <mergeCell ref="O4:Q4"/>
  </mergeCells>
  <printOptions horizontalCentered="1"/>
  <pageMargins left="0.23622047244094491" right="0" top="0.86614173228346458" bottom="0.27559055118110237" header="0" footer="0"/>
  <pageSetup paperSize="9" scale="78" fitToHeight="4" orientation="landscape" r:id="rId1"/>
  <headerFooter alignWithMargins="0"/>
  <rowBreaks count="2" manualBreakCount="2">
    <brk id="59" max="15" man="1"/>
    <brk id="9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Normal="100" workbookViewId="0">
      <selection activeCell="D24" sqref="D24"/>
    </sheetView>
  </sheetViews>
  <sheetFormatPr defaultRowHeight="15"/>
  <cols>
    <col min="1" max="1" width="4.7109375" style="51" customWidth="1"/>
    <col min="2" max="2" width="33.42578125" style="51" customWidth="1"/>
    <col min="3" max="4" width="12.28515625" style="51" customWidth="1"/>
    <col min="5" max="5" width="15.28515625" style="51" customWidth="1"/>
    <col min="6" max="6" width="12.7109375" style="51" customWidth="1"/>
    <col min="7" max="7" width="10.85546875" style="51" customWidth="1"/>
    <col min="8" max="256" width="9.140625" style="51"/>
    <col min="257" max="257" width="4.7109375" style="51" customWidth="1"/>
    <col min="258" max="258" width="33.42578125" style="51" customWidth="1"/>
    <col min="259" max="260" width="12.28515625" style="51" customWidth="1"/>
    <col min="261" max="261" width="15.28515625" style="51" customWidth="1"/>
    <col min="262" max="262" width="12.7109375" style="51" customWidth="1"/>
    <col min="263" max="263" width="10.85546875" style="51" customWidth="1"/>
    <col min="264" max="512" width="9.140625" style="51"/>
    <col min="513" max="513" width="4.7109375" style="51" customWidth="1"/>
    <col min="514" max="514" width="33.42578125" style="51" customWidth="1"/>
    <col min="515" max="516" width="12.28515625" style="51" customWidth="1"/>
    <col min="517" max="517" width="15.28515625" style="51" customWidth="1"/>
    <col min="518" max="518" width="12.7109375" style="51" customWidth="1"/>
    <col min="519" max="519" width="10.85546875" style="51" customWidth="1"/>
    <col min="520" max="768" width="9.140625" style="51"/>
    <col min="769" max="769" width="4.7109375" style="51" customWidth="1"/>
    <col min="770" max="770" width="33.42578125" style="51" customWidth="1"/>
    <col min="771" max="772" width="12.28515625" style="51" customWidth="1"/>
    <col min="773" max="773" width="15.28515625" style="51" customWidth="1"/>
    <col min="774" max="774" width="12.7109375" style="51" customWidth="1"/>
    <col min="775" max="775" width="10.85546875" style="51" customWidth="1"/>
    <col min="776" max="1024" width="9.140625" style="51"/>
    <col min="1025" max="1025" width="4.7109375" style="51" customWidth="1"/>
    <col min="1026" max="1026" width="33.42578125" style="51" customWidth="1"/>
    <col min="1027" max="1028" width="12.28515625" style="51" customWidth="1"/>
    <col min="1029" max="1029" width="15.28515625" style="51" customWidth="1"/>
    <col min="1030" max="1030" width="12.7109375" style="51" customWidth="1"/>
    <col min="1031" max="1031" width="10.85546875" style="51" customWidth="1"/>
    <col min="1032" max="1280" width="9.140625" style="51"/>
    <col min="1281" max="1281" width="4.7109375" style="51" customWidth="1"/>
    <col min="1282" max="1282" width="33.42578125" style="51" customWidth="1"/>
    <col min="1283" max="1284" width="12.28515625" style="51" customWidth="1"/>
    <col min="1285" max="1285" width="15.28515625" style="51" customWidth="1"/>
    <col min="1286" max="1286" width="12.7109375" style="51" customWidth="1"/>
    <col min="1287" max="1287" width="10.85546875" style="51" customWidth="1"/>
    <col min="1288" max="1536" width="9.140625" style="51"/>
    <col min="1537" max="1537" width="4.7109375" style="51" customWidth="1"/>
    <col min="1538" max="1538" width="33.42578125" style="51" customWidth="1"/>
    <col min="1539" max="1540" width="12.28515625" style="51" customWidth="1"/>
    <col min="1541" max="1541" width="15.28515625" style="51" customWidth="1"/>
    <col min="1542" max="1542" width="12.7109375" style="51" customWidth="1"/>
    <col min="1543" max="1543" width="10.85546875" style="51" customWidth="1"/>
    <col min="1544" max="1792" width="9.140625" style="51"/>
    <col min="1793" max="1793" width="4.7109375" style="51" customWidth="1"/>
    <col min="1794" max="1794" width="33.42578125" style="51" customWidth="1"/>
    <col min="1795" max="1796" width="12.28515625" style="51" customWidth="1"/>
    <col min="1797" max="1797" width="15.28515625" style="51" customWidth="1"/>
    <col min="1798" max="1798" width="12.7109375" style="51" customWidth="1"/>
    <col min="1799" max="1799" width="10.85546875" style="51" customWidth="1"/>
    <col min="1800" max="2048" width="9.140625" style="51"/>
    <col min="2049" max="2049" width="4.7109375" style="51" customWidth="1"/>
    <col min="2050" max="2050" width="33.42578125" style="51" customWidth="1"/>
    <col min="2051" max="2052" width="12.28515625" style="51" customWidth="1"/>
    <col min="2053" max="2053" width="15.28515625" style="51" customWidth="1"/>
    <col min="2054" max="2054" width="12.7109375" style="51" customWidth="1"/>
    <col min="2055" max="2055" width="10.85546875" style="51" customWidth="1"/>
    <col min="2056" max="2304" width="9.140625" style="51"/>
    <col min="2305" max="2305" width="4.7109375" style="51" customWidth="1"/>
    <col min="2306" max="2306" width="33.42578125" style="51" customWidth="1"/>
    <col min="2307" max="2308" width="12.28515625" style="51" customWidth="1"/>
    <col min="2309" max="2309" width="15.28515625" style="51" customWidth="1"/>
    <col min="2310" max="2310" width="12.7109375" style="51" customWidth="1"/>
    <col min="2311" max="2311" width="10.85546875" style="51" customWidth="1"/>
    <col min="2312" max="2560" width="9.140625" style="51"/>
    <col min="2561" max="2561" width="4.7109375" style="51" customWidth="1"/>
    <col min="2562" max="2562" width="33.42578125" style="51" customWidth="1"/>
    <col min="2563" max="2564" width="12.28515625" style="51" customWidth="1"/>
    <col min="2565" max="2565" width="15.28515625" style="51" customWidth="1"/>
    <col min="2566" max="2566" width="12.7109375" style="51" customWidth="1"/>
    <col min="2567" max="2567" width="10.85546875" style="51" customWidth="1"/>
    <col min="2568" max="2816" width="9.140625" style="51"/>
    <col min="2817" max="2817" width="4.7109375" style="51" customWidth="1"/>
    <col min="2818" max="2818" width="33.42578125" style="51" customWidth="1"/>
    <col min="2819" max="2820" width="12.28515625" style="51" customWidth="1"/>
    <col min="2821" max="2821" width="15.28515625" style="51" customWidth="1"/>
    <col min="2822" max="2822" width="12.7109375" style="51" customWidth="1"/>
    <col min="2823" max="2823" width="10.85546875" style="51" customWidth="1"/>
    <col min="2824" max="3072" width="9.140625" style="51"/>
    <col min="3073" max="3073" width="4.7109375" style="51" customWidth="1"/>
    <col min="3074" max="3074" width="33.42578125" style="51" customWidth="1"/>
    <col min="3075" max="3076" width="12.28515625" style="51" customWidth="1"/>
    <col min="3077" max="3077" width="15.28515625" style="51" customWidth="1"/>
    <col min="3078" max="3078" width="12.7109375" style="51" customWidth="1"/>
    <col min="3079" max="3079" width="10.85546875" style="51" customWidth="1"/>
    <col min="3080" max="3328" width="9.140625" style="51"/>
    <col min="3329" max="3329" width="4.7109375" style="51" customWidth="1"/>
    <col min="3330" max="3330" width="33.42578125" style="51" customWidth="1"/>
    <col min="3331" max="3332" width="12.28515625" style="51" customWidth="1"/>
    <col min="3333" max="3333" width="15.28515625" style="51" customWidth="1"/>
    <col min="3334" max="3334" width="12.7109375" style="51" customWidth="1"/>
    <col min="3335" max="3335" width="10.85546875" style="51" customWidth="1"/>
    <col min="3336" max="3584" width="9.140625" style="51"/>
    <col min="3585" max="3585" width="4.7109375" style="51" customWidth="1"/>
    <col min="3586" max="3586" width="33.42578125" style="51" customWidth="1"/>
    <col min="3587" max="3588" width="12.28515625" style="51" customWidth="1"/>
    <col min="3589" max="3589" width="15.28515625" style="51" customWidth="1"/>
    <col min="3590" max="3590" width="12.7109375" style="51" customWidth="1"/>
    <col min="3591" max="3591" width="10.85546875" style="51" customWidth="1"/>
    <col min="3592" max="3840" width="9.140625" style="51"/>
    <col min="3841" max="3841" width="4.7109375" style="51" customWidth="1"/>
    <col min="3842" max="3842" width="33.42578125" style="51" customWidth="1"/>
    <col min="3843" max="3844" width="12.28515625" style="51" customWidth="1"/>
    <col min="3845" max="3845" width="15.28515625" style="51" customWidth="1"/>
    <col min="3846" max="3846" width="12.7109375" style="51" customWidth="1"/>
    <col min="3847" max="3847" width="10.85546875" style="51" customWidth="1"/>
    <col min="3848" max="4096" width="9.140625" style="51"/>
    <col min="4097" max="4097" width="4.7109375" style="51" customWidth="1"/>
    <col min="4098" max="4098" width="33.42578125" style="51" customWidth="1"/>
    <col min="4099" max="4100" width="12.28515625" style="51" customWidth="1"/>
    <col min="4101" max="4101" width="15.28515625" style="51" customWidth="1"/>
    <col min="4102" max="4102" width="12.7109375" style="51" customWidth="1"/>
    <col min="4103" max="4103" width="10.85546875" style="51" customWidth="1"/>
    <col min="4104" max="4352" width="9.140625" style="51"/>
    <col min="4353" max="4353" width="4.7109375" style="51" customWidth="1"/>
    <col min="4354" max="4354" width="33.42578125" style="51" customWidth="1"/>
    <col min="4355" max="4356" width="12.28515625" style="51" customWidth="1"/>
    <col min="4357" max="4357" width="15.28515625" style="51" customWidth="1"/>
    <col min="4358" max="4358" width="12.7109375" style="51" customWidth="1"/>
    <col min="4359" max="4359" width="10.85546875" style="51" customWidth="1"/>
    <col min="4360" max="4608" width="9.140625" style="51"/>
    <col min="4609" max="4609" width="4.7109375" style="51" customWidth="1"/>
    <col min="4610" max="4610" width="33.42578125" style="51" customWidth="1"/>
    <col min="4611" max="4612" width="12.28515625" style="51" customWidth="1"/>
    <col min="4613" max="4613" width="15.28515625" style="51" customWidth="1"/>
    <col min="4614" max="4614" width="12.7109375" style="51" customWidth="1"/>
    <col min="4615" max="4615" width="10.85546875" style="51" customWidth="1"/>
    <col min="4616" max="4864" width="9.140625" style="51"/>
    <col min="4865" max="4865" width="4.7109375" style="51" customWidth="1"/>
    <col min="4866" max="4866" width="33.42578125" style="51" customWidth="1"/>
    <col min="4867" max="4868" width="12.28515625" style="51" customWidth="1"/>
    <col min="4869" max="4869" width="15.28515625" style="51" customWidth="1"/>
    <col min="4870" max="4870" width="12.7109375" style="51" customWidth="1"/>
    <col min="4871" max="4871" width="10.85546875" style="51" customWidth="1"/>
    <col min="4872" max="5120" width="9.140625" style="51"/>
    <col min="5121" max="5121" width="4.7109375" style="51" customWidth="1"/>
    <col min="5122" max="5122" width="33.42578125" style="51" customWidth="1"/>
    <col min="5123" max="5124" width="12.28515625" style="51" customWidth="1"/>
    <col min="5125" max="5125" width="15.28515625" style="51" customWidth="1"/>
    <col min="5126" max="5126" width="12.7109375" style="51" customWidth="1"/>
    <col min="5127" max="5127" width="10.85546875" style="51" customWidth="1"/>
    <col min="5128" max="5376" width="9.140625" style="51"/>
    <col min="5377" max="5377" width="4.7109375" style="51" customWidth="1"/>
    <col min="5378" max="5378" width="33.42578125" style="51" customWidth="1"/>
    <col min="5379" max="5380" width="12.28515625" style="51" customWidth="1"/>
    <col min="5381" max="5381" width="15.28515625" style="51" customWidth="1"/>
    <col min="5382" max="5382" width="12.7109375" style="51" customWidth="1"/>
    <col min="5383" max="5383" width="10.85546875" style="51" customWidth="1"/>
    <col min="5384" max="5632" width="9.140625" style="51"/>
    <col min="5633" max="5633" width="4.7109375" style="51" customWidth="1"/>
    <col min="5634" max="5634" width="33.42578125" style="51" customWidth="1"/>
    <col min="5635" max="5636" width="12.28515625" style="51" customWidth="1"/>
    <col min="5637" max="5637" width="15.28515625" style="51" customWidth="1"/>
    <col min="5638" max="5638" width="12.7109375" style="51" customWidth="1"/>
    <col min="5639" max="5639" width="10.85546875" style="51" customWidth="1"/>
    <col min="5640" max="5888" width="9.140625" style="51"/>
    <col min="5889" max="5889" width="4.7109375" style="51" customWidth="1"/>
    <col min="5890" max="5890" width="33.42578125" style="51" customWidth="1"/>
    <col min="5891" max="5892" width="12.28515625" style="51" customWidth="1"/>
    <col min="5893" max="5893" width="15.28515625" style="51" customWidth="1"/>
    <col min="5894" max="5894" width="12.7109375" style="51" customWidth="1"/>
    <col min="5895" max="5895" width="10.85546875" style="51" customWidth="1"/>
    <col min="5896" max="6144" width="9.140625" style="51"/>
    <col min="6145" max="6145" width="4.7109375" style="51" customWidth="1"/>
    <col min="6146" max="6146" width="33.42578125" style="51" customWidth="1"/>
    <col min="6147" max="6148" width="12.28515625" style="51" customWidth="1"/>
    <col min="6149" max="6149" width="15.28515625" style="51" customWidth="1"/>
    <col min="6150" max="6150" width="12.7109375" style="51" customWidth="1"/>
    <col min="6151" max="6151" width="10.85546875" style="51" customWidth="1"/>
    <col min="6152" max="6400" width="9.140625" style="51"/>
    <col min="6401" max="6401" width="4.7109375" style="51" customWidth="1"/>
    <col min="6402" max="6402" width="33.42578125" style="51" customWidth="1"/>
    <col min="6403" max="6404" width="12.28515625" style="51" customWidth="1"/>
    <col min="6405" max="6405" width="15.28515625" style="51" customWidth="1"/>
    <col min="6406" max="6406" width="12.7109375" style="51" customWidth="1"/>
    <col min="6407" max="6407" width="10.85546875" style="51" customWidth="1"/>
    <col min="6408" max="6656" width="9.140625" style="51"/>
    <col min="6657" max="6657" width="4.7109375" style="51" customWidth="1"/>
    <col min="6658" max="6658" width="33.42578125" style="51" customWidth="1"/>
    <col min="6659" max="6660" width="12.28515625" style="51" customWidth="1"/>
    <col min="6661" max="6661" width="15.28515625" style="51" customWidth="1"/>
    <col min="6662" max="6662" width="12.7109375" style="51" customWidth="1"/>
    <col min="6663" max="6663" width="10.85546875" style="51" customWidth="1"/>
    <col min="6664" max="6912" width="9.140625" style="51"/>
    <col min="6913" max="6913" width="4.7109375" style="51" customWidth="1"/>
    <col min="6914" max="6914" width="33.42578125" style="51" customWidth="1"/>
    <col min="6915" max="6916" width="12.28515625" style="51" customWidth="1"/>
    <col min="6917" max="6917" width="15.28515625" style="51" customWidth="1"/>
    <col min="6918" max="6918" width="12.7109375" style="51" customWidth="1"/>
    <col min="6919" max="6919" width="10.85546875" style="51" customWidth="1"/>
    <col min="6920" max="7168" width="9.140625" style="51"/>
    <col min="7169" max="7169" width="4.7109375" style="51" customWidth="1"/>
    <col min="7170" max="7170" width="33.42578125" style="51" customWidth="1"/>
    <col min="7171" max="7172" width="12.28515625" style="51" customWidth="1"/>
    <col min="7173" max="7173" width="15.28515625" style="51" customWidth="1"/>
    <col min="7174" max="7174" width="12.7109375" style="51" customWidth="1"/>
    <col min="7175" max="7175" width="10.85546875" style="51" customWidth="1"/>
    <col min="7176" max="7424" width="9.140625" style="51"/>
    <col min="7425" max="7425" width="4.7109375" style="51" customWidth="1"/>
    <col min="7426" max="7426" width="33.42578125" style="51" customWidth="1"/>
    <col min="7427" max="7428" width="12.28515625" style="51" customWidth="1"/>
    <col min="7429" max="7429" width="15.28515625" style="51" customWidth="1"/>
    <col min="7430" max="7430" width="12.7109375" style="51" customWidth="1"/>
    <col min="7431" max="7431" width="10.85546875" style="51" customWidth="1"/>
    <col min="7432" max="7680" width="9.140625" style="51"/>
    <col min="7681" max="7681" width="4.7109375" style="51" customWidth="1"/>
    <col min="7682" max="7682" width="33.42578125" style="51" customWidth="1"/>
    <col min="7683" max="7684" width="12.28515625" style="51" customWidth="1"/>
    <col min="7685" max="7685" width="15.28515625" style="51" customWidth="1"/>
    <col min="7686" max="7686" width="12.7109375" style="51" customWidth="1"/>
    <col min="7687" max="7687" width="10.85546875" style="51" customWidth="1"/>
    <col min="7688" max="7936" width="9.140625" style="51"/>
    <col min="7937" max="7937" width="4.7109375" style="51" customWidth="1"/>
    <col min="7938" max="7938" width="33.42578125" style="51" customWidth="1"/>
    <col min="7939" max="7940" width="12.28515625" style="51" customWidth="1"/>
    <col min="7941" max="7941" width="15.28515625" style="51" customWidth="1"/>
    <col min="7942" max="7942" width="12.7109375" style="51" customWidth="1"/>
    <col min="7943" max="7943" width="10.85546875" style="51" customWidth="1"/>
    <col min="7944" max="8192" width="9.140625" style="51"/>
    <col min="8193" max="8193" width="4.7109375" style="51" customWidth="1"/>
    <col min="8194" max="8194" width="33.42578125" style="51" customWidth="1"/>
    <col min="8195" max="8196" width="12.28515625" style="51" customWidth="1"/>
    <col min="8197" max="8197" width="15.28515625" style="51" customWidth="1"/>
    <col min="8198" max="8198" width="12.7109375" style="51" customWidth="1"/>
    <col min="8199" max="8199" width="10.85546875" style="51" customWidth="1"/>
    <col min="8200" max="8448" width="9.140625" style="51"/>
    <col min="8449" max="8449" width="4.7109375" style="51" customWidth="1"/>
    <col min="8450" max="8450" width="33.42578125" style="51" customWidth="1"/>
    <col min="8451" max="8452" width="12.28515625" style="51" customWidth="1"/>
    <col min="8453" max="8453" width="15.28515625" style="51" customWidth="1"/>
    <col min="8454" max="8454" width="12.7109375" style="51" customWidth="1"/>
    <col min="8455" max="8455" width="10.85546875" style="51" customWidth="1"/>
    <col min="8456" max="8704" width="9.140625" style="51"/>
    <col min="8705" max="8705" width="4.7109375" style="51" customWidth="1"/>
    <col min="8706" max="8706" width="33.42578125" style="51" customWidth="1"/>
    <col min="8707" max="8708" width="12.28515625" style="51" customWidth="1"/>
    <col min="8709" max="8709" width="15.28515625" style="51" customWidth="1"/>
    <col min="8710" max="8710" width="12.7109375" style="51" customWidth="1"/>
    <col min="8711" max="8711" width="10.85546875" style="51" customWidth="1"/>
    <col min="8712" max="8960" width="9.140625" style="51"/>
    <col min="8961" max="8961" width="4.7109375" style="51" customWidth="1"/>
    <col min="8962" max="8962" width="33.42578125" style="51" customWidth="1"/>
    <col min="8963" max="8964" width="12.28515625" style="51" customWidth="1"/>
    <col min="8965" max="8965" width="15.28515625" style="51" customWidth="1"/>
    <col min="8966" max="8966" width="12.7109375" style="51" customWidth="1"/>
    <col min="8967" max="8967" width="10.85546875" style="51" customWidth="1"/>
    <col min="8968" max="9216" width="9.140625" style="51"/>
    <col min="9217" max="9217" width="4.7109375" style="51" customWidth="1"/>
    <col min="9218" max="9218" width="33.42578125" style="51" customWidth="1"/>
    <col min="9219" max="9220" width="12.28515625" style="51" customWidth="1"/>
    <col min="9221" max="9221" width="15.28515625" style="51" customWidth="1"/>
    <col min="9222" max="9222" width="12.7109375" style="51" customWidth="1"/>
    <col min="9223" max="9223" width="10.85546875" style="51" customWidth="1"/>
    <col min="9224" max="9472" width="9.140625" style="51"/>
    <col min="9473" max="9473" width="4.7109375" style="51" customWidth="1"/>
    <col min="9474" max="9474" width="33.42578125" style="51" customWidth="1"/>
    <col min="9475" max="9476" width="12.28515625" style="51" customWidth="1"/>
    <col min="9477" max="9477" width="15.28515625" style="51" customWidth="1"/>
    <col min="9478" max="9478" width="12.7109375" style="51" customWidth="1"/>
    <col min="9479" max="9479" width="10.85546875" style="51" customWidth="1"/>
    <col min="9480" max="9728" width="9.140625" style="51"/>
    <col min="9729" max="9729" width="4.7109375" style="51" customWidth="1"/>
    <col min="9730" max="9730" width="33.42578125" style="51" customWidth="1"/>
    <col min="9731" max="9732" width="12.28515625" style="51" customWidth="1"/>
    <col min="9733" max="9733" width="15.28515625" style="51" customWidth="1"/>
    <col min="9734" max="9734" width="12.7109375" style="51" customWidth="1"/>
    <col min="9735" max="9735" width="10.85546875" style="51" customWidth="1"/>
    <col min="9736" max="9984" width="9.140625" style="51"/>
    <col min="9985" max="9985" width="4.7109375" style="51" customWidth="1"/>
    <col min="9986" max="9986" width="33.42578125" style="51" customWidth="1"/>
    <col min="9987" max="9988" width="12.28515625" style="51" customWidth="1"/>
    <col min="9989" max="9989" width="15.28515625" style="51" customWidth="1"/>
    <col min="9990" max="9990" width="12.7109375" style="51" customWidth="1"/>
    <col min="9991" max="9991" width="10.85546875" style="51" customWidth="1"/>
    <col min="9992" max="10240" width="9.140625" style="51"/>
    <col min="10241" max="10241" width="4.7109375" style="51" customWidth="1"/>
    <col min="10242" max="10242" width="33.42578125" style="51" customWidth="1"/>
    <col min="10243" max="10244" width="12.28515625" style="51" customWidth="1"/>
    <col min="10245" max="10245" width="15.28515625" style="51" customWidth="1"/>
    <col min="10246" max="10246" width="12.7109375" style="51" customWidth="1"/>
    <col min="10247" max="10247" width="10.85546875" style="51" customWidth="1"/>
    <col min="10248" max="10496" width="9.140625" style="51"/>
    <col min="10497" max="10497" width="4.7109375" style="51" customWidth="1"/>
    <col min="10498" max="10498" width="33.42578125" style="51" customWidth="1"/>
    <col min="10499" max="10500" width="12.28515625" style="51" customWidth="1"/>
    <col min="10501" max="10501" width="15.28515625" style="51" customWidth="1"/>
    <col min="10502" max="10502" width="12.7109375" style="51" customWidth="1"/>
    <col min="10503" max="10503" width="10.85546875" style="51" customWidth="1"/>
    <col min="10504" max="10752" width="9.140625" style="51"/>
    <col min="10753" max="10753" width="4.7109375" style="51" customWidth="1"/>
    <col min="10754" max="10754" width="33.42578125" style="51" customWidth="1"/>
    <col min="10755" max="10756" width="12.28515625" style="51" customWidth="1"/>
    <col min="10757" max="10757" width="15.28515625" style="51" customWidth="1"/>
    <col min="10758" max="10758" width="12.7109375" style="51" customWidth="1"/>
    <col min="10759" max="10759" width="10.85546875" style="51" customWidth="1"/>
    <col min="10760" max="11008" width="9.140625" style="51"/>
    <col min="11009" max="11009" width="4.7109375" style="51" customWidth="1"/>
    <col min="11010" max="11010" width="33.42578125" style="51" customWidth="1"/>
    <col min="11011" max="11012" width="12.28515625" style="51" customWidth="1"/>
    <col min="11013" max="11013" width="15.28515625" style="51" customWidth="1"/>
    <col min="11014" max="11014" width="12.7109375" style="51" customWidth="1"/>
    <col min="11015" max="11015" width="10.85546875" style="51" customWidth="1"/>
    <col min="11016" max="11264" width="9.140625" style="51"/>
    <col min="11265" max="11265" width="4.7109375" style="51" customWidth="1"/>
    <col min="11266" max="11266" width="33.42578125" style="51" customWidth="1"/>
    <col min="11267" max="11268" width="12.28515625" style="51" customWidth="1"/>
    <col min="11269" max="11269" width="15.28515625" style="51" customWidth="1"/>
    <col min="11270" max="11270" width="12.7109375" style="51" customWidth="1"/>
    <col min="11271" max="11271" width="10.85546875" style="51" customWidth="1"/>
    <col min="11272" max="11520" width="9.140625" style="51"/>
    <col min="11521" max="11521" width="4.7109375" style="51" customWidth="1"/>
    <col min="11522" max="11522" width="33.42578125" style="51" customWidth="1"/>
    <col min="11523" max="11524" width="12.28515625" style="51" customWidth="1"/>
    <col min="11525" max="11525" width="15.28515625" style="51" customWidth="1"/>
    <col min="11526" max="11526" width="12.7109375" style="51" customWidth="1"/>
    <col min="11527" max="11527" width="10.85546875" style="51" customWidth="1"/>
    <col min="11528" max="11776" width="9.140625" style="51"/>
    <col min="11777" max="11777" width="4.7109375" style="51" customWidth="1"/>
    <col min="11778" max="11778" width="33.42578125" style="51" customWidth="1"/>
    <col min="11779" max="11780" width="12.28515625" style="51" customWidth="1"/>
    <col min="11781" max="11781" width="15.28515625" style="51" customWidth="1"/>
    <col min="11782" max="11782" width="12.7109375" style="51" customWidth="1"/>
    <col min="11783" max="11783" width="10.85546875" style="51" customWidth="1"/>
    <col min="11784" max="12032" width="9.140625" style="51"/>
    <col min="12033" max="12033" width="4.7109375" style="51" customWidth="1"/>
    <col min="12034" max="12034" width="33.42578125" style="51" customWidth="1"/>
    <col min="12035" max="12036" width="12.28515625" style="51" customWidth="1"/>
    <col min="12037" max="12037" width="15.28515625" style="51" customWidth="1"/>
    <col min="12038" max="12038" width="12.7109375" style="51" customWidth="1"/>
    <col min="12039" max="12039" width="10.85546875" style="51" customWidth="1"/>
    <col min="12040" max="12288" width="9.140625" style="51"/>
    <col min="12289" max="12289" width="4.7109375" style="51" customWidth="1"/>
    <col min="12290" max="12290" width="33.42578125" style="51" customWidth="1"/>
    <col min="12291" max="12292" width="12.28515625" style="51" customWidth="1"/>
    <col min="12293" max="12293" width="15.28515625" style="51" customWidth="1"/>
    <col min="12294" max="12294" width="12.7109375" style="51" customWidth="1"/>
    <col min="12295" max="12295" width="10.85546875" style="51" customWidth="1"/>
    <col min="12296" max="12544" width="9.140625" style="51"/>
    <col min="12545" max="12545" width="4.7109375" style="51" customWidth="1"/>
    <col min="12546" max="12546" width="33.42578125" style="51" customWidth="1"/>
    <col min="12547" max="12548" width="12.28515625" style="51" customWidth="1"/>
    <col min="12549" max="12549" width="15.28515625" style="51" customWidth="1"/>
    <col min="12550" max="12550" width="12.7109375" style="51" customWidth="1"/>
    <col min="12551" max="12551" width="10.85546875" style="51" customWidth="1"/>
    <col min="12552" max="12800" width="9.140625" style="51"/>
    <col min="12801" max="12801" width="4.7109375" style="51" customWidth="1"/>
    <col min="12802" max="12802" width="33.42578125" style="51" customWidth="1"/>
    <col min="12803" max="12804" width="12.28515625" style="51" customWidth="1"/>
    <col min="12805" max="12805" width="15.28515625" style="51" customWidth="1"/>
    <col min="12806" max="12806" width="12.7109375" style="51" customWidth="1"/>
    <col min="12807" max="12807" width="10.85546875" style="51" customWidth="1"/>
    <col min="12808" max="13056" width="9.140625" style="51"/>
    <col min="13057" max="13057" width="4.7109375" style="51" customWidth="1"/>
    <col min="13058" max="13058" width="33.42578125" style="51" customWidth="1"/>
    <col min="13059" max="13060" width="12.28515625" style="51" customWidth="1"/>
    <col min="13061" max="13061" width="15.28515625" style="51" customWidth="1"/>
    <col min="13062" max="13062" width="12.7109375" style="51" customWidth="1"/>
    <col min="13063" max="13063" width="10.85546875" style="51" customWidth="1"/>
    <col min="13064" max="13312" width="9.140625" style="51"/>
    <col min="13313" max="13313" width="4.7109375" style="51" customWidth="1"/>
    <col min="13314" max="13314" width="33.42578125" style="51" customWidth="1"/>
    <col min="13315" max="13316" width="12.28515625" style="51" customWidth="1"/>
    <col min="13317" max="13317" width="15.28515625" style="51" customWidth="1"/>
    <col min="13318" max="13318" width="12.7109375" style="51" customWidth="1"/>
    <col min="13319" max="13319" width="10.85546875" style="51" customWidth="1"/>
    <col min="13320" max="13568" width="9.140625" style="51"/>
    <col min="13569" max="13569" width="4.7109375" style="51" customWidth="1"/>
    <col min="13570" max="13570" width="33.42578125" style="51" customWidth="1"/>
    <col min="13571" max="13572" width="12.28515625" style="51" customWidth="1"/>
    <col min="13573" max="13573" width="15.28515625" style="51" customWidth="1"/>
    <col min="13574" max="13574" width="12.7109375" style="51" customWidth="1"/>
    <col min="13575" max="13575" width="10.85546875" style="51" customWidth="1"/>
    <col min="13576" max="13824" width="9.140625" style="51"/>
    <col min="13825" max="13825" width="4.7109375" style="51" customWidth="1"/>
    <col min="13826" max="13826" width="33.42578125" style="51" customWidth="1"/>
    <col min="13827" max="13828" width="12.28515625" style="51" customWidth="1"/>
    <col min="13829" max="13829" width="15.28515625" style="51" customWidth="1"/>
    <col min="13830" max="13830" width="12.7109375" style="51" customWidth="1"/>
    <col min="13831" max="13831" width="10.85546875" style="51" customWidth="1"/>
    <col min="13832" max="14080" width="9.140625" style="51"/>
    <col min="14081" max="14081" width="4.7109375" style="51" customWidth="1"/>
    <col min="14082" max="14082" width="33.42578125" style="51" customWidth="1"/>
    <col min="14083" max="14084" width="12.28515625" style="51" customWidth="1"/>
    <col min="14085" max="14085" width="15.28515625" style="51" customWidth="1"/>
    <col min="14086" max="14086" width="12.7109375" style="51" customWidth="1"/>
    <col min="14087" max="14087" width="10.85546875" style="51" customWidth="1"/>
    <col min="14088" max="14336" width="9.140625" style="51"/>
    <col min="14337" max="14337" width="4.7109375" style="51" customWidth="1"/>
    <col min="14338" max="14338" width="33.42578125" style="51" customWidth="1"/>
    <col min="14339" max="14340" width="12.28515625" style="51" customWidth="1"/>
    <col min="14341" max="14341" width="15.28515625" style="51" customWidth="1"/>
    <col min="14342" max="14342" width="12.7109375" style="51" customWidth="1"/>
    <col min="14343" max="14343" width="10.85546875" style="51" customWidth="1"/>
    <col min="14344" max="14592" width="9.140625" style="51"/>
    <col min="14593" max="14593" width="4.7109375" style="51" customWidth="1"/>
    <col min="14594" max="14594" width="33.42578125" style="51" customWidth="1"/>
    <col min="14595" max="14596" width="12.28515625" style="51" customWidth="1"/>
    <col min="14597" max="14597" width="15.28515625" style="51" customWidth="1"/>
    <col min="14598" max="14598" width="12.7109375" style="51" customWidth="1"/>
    <col min="14599" max="14599" width="10.85546875" style="51" customWidth="1"/>
    <col min="14600" max="14848" width="9.140625" style="51"/>
    <col min="14849" max="14849" width="4.7109375" style="51" customWidth="1"/>
    <col min="14850" max="14850" width="33.42578125" style="51" customWidth="1"/>
    <col min="14851" max="14852" width="12.28515625" style="51" customWidth="1"/>
    <col min="14853" max="14853" width="15.28515625" style="51" customWidth="1"/>
    <col min="14854" max="14854" width="12.7109375" style="51" customWidth="1"/>
    <col min="14855" max="14855" width="10.85546875" style="51" customWidth="1"/>
    <col min="14856" max="15104" width="9.140625" style="51"/>
    <col min="15105" max="15105" width="4.7109375" style="51" customWidth="1"/>
    <col min="15106" max="15106" width="33.42578125" style="51" customWidth="1"/>
    <col min="15107" max="15108" width="12.28515625" style="51" customWidth="1"/>
    <col min="15109" max="15109" width="15.28515625" style="51" customWidth="1"/>
    <col min="15110" max="15110" width="12.7109375" style="51" customWidth="1"/>
    <col min="15111" max="15111" width="10.85546875" style="51" customWidth="1"/>
    <col min="15112" max="15360" width="9.140625" style="51"/>
    <col min="15361" max="15361" width="4.7109375" style="51" customWidth="1"/>
    <col min="15362" max="15362" width="33.42578125" style="51" customWidth="1"/>
    <col min="15363" max="15364" width="12.28515625" style="51" customWidth="1"/>
    <col min="15365" max="15365" width="15.28515625" style="51" customWidth="1"/>
    <col min="15366" max="15366" width="12.7109375" style="51" customWidth="1"/>
    <col min="15367" max="15367" width="10.85546875" style="51" customWidth="1"/>
    <col min="15368" max="15616" width="9.140625" style="51"/>
    <col min="15617" max="15617" width="4.7109375" style="51" customWidth="1"/>
    <col min="15618" max="15618" width="33.42578125" style="51" customWidth="1"/>
    <col min="15619" max="15620" width="12.28515625" style="51" customWidth="1"/>
    <col min="15621" max="15621" width="15.28515625" style="51" customWidth="1"/>
    <col min="15622" max="15622" width="12.7109375" style="51" customWidth="1"/>
    <col min="15623" max="15623" width="10.85546875" style="51" customWidth="1"/>
    <col min="15624" max="15872" width="9.140625" style="51"/>
    <col min="15873" max="15873" width="4.7109375" style="51" customWidth="1"/>
    <col min="15874" max="15874" width="33.42578125" style="51" customWidth="1"/>
    <col min="15875" max="15876" width="12.28515625" style="51" customWidth="1"/>
    <col min="15877" max="15877" width="15.28515625" style="51" customWidth="1"/>
    <col min="15878" max="15878" width="12.7109375" style="51" customWidth="1"/>
    <col min="15879" max="15879" width="10.85546875" style="51" customWidth="1"/>
    <col min="15880" max="16128" width="9.140625" style="51"/>
    <col min="16129" max="16129" width="4.7109375" style="51" customWidth="1"/>
    <col min="16130" max="16130" width="33.42578125" style="51" customWidth="1"/>
    <col min="16131" max="16132" width="12.28515625" style="51" customWidth="1"/>
    <col min="16133" max="16133" width="15.28515625" style="51" customWidth="1"/>
    <col min="16134" max="16134" width="12.7109375" style="51" customWidth="1"/>
    <col min="16135" max="16135" width="10.85546875" style="51" customWidth="1"/>
    <col min="16136" max="16384" width="9.140625" style="51"/>
  </cols>
  <sheetData>
    <row r="1" spans="1:8">
      <c r="E1" s="389" t="s">
        <v>442</v>
      </c>
      <c r="F1" s="389"/>
      <c r="G1" s="389"/>
      <c r="H1" s="389"/>
    </row>
    <row r="2" spans="1:8" ht="34.5" customHeight="1">
      <c r="E2" s="390" t="s">
        <v>495</v>
      </c>
      <c r="F2" s="390"/>
      <c r="G2" s="390"/>
      <c r="H2" s="390"/>
    </row>
    <row r="5" spans="1:8" ht="51.75" customHeight="1">
      <c r="A5" s="391" t="s">
        <v>496</v>
      </c>
      <c r="B5" s="391"/>
      <c r="C5" s="391"/>
      <c r="D5" s="391"/>
      <c r="E5" s="391"/>
      <c r="F5" s="391"/>
      <c r="G5" s="391"/>
      <c r="H5" s="391"/>
    </row>
    <row r="7" spans="1:8" ht="15.75" thickBot="1"/>
    <row r="8" spans="1:8" ht="31.5" customHeight="1">
      <c r="A8" s="392" t="s">
        <v>308</v>
      </c>
      <c r="B8" s="386"/>
      <c r="C8" s="394" t="s">
        <v>443</v>
      </c>
      <c r="D8" s="396" t="s">
        <v>497</v>
      </c>
      <c r="E8" s="394" t="s">
        <v>498</v>
      </c>
      <c r="F8" s="394" t="s">
        <v>310</v>
      </c>
      <c r="G8" s="394"/>
      <c r="H8" s="398"/>
    </row>
    <row r="9" spans="1:8" ht="16.5" thickBot="1">
      <c r="A9" s="393"/>
      <c r="B9" s="388"/>
      <c r="C9" s="395"/>
      <c r="D9" s="397"/>
      <c r="E9" s="395"/>
      <c r="F9" s="52" t="s">
        <v>374</v>
      </c>
      <c r="G9" s="52" t="s">
        <v>444</v>
      </c>
      <c r="H9" s="53" t="s">
        <v>499</v>
      </c>
    </row>
    <row r="10" spans="1:8" ht="37.5" customHeight="1">
      <c r="A10" s="383" t="s">
        <v>312</v>
      </c>
      <c r="B10" s="54" t="s">
        <v>313</v>
      </c>
      <c r="C10" s="386" t="s">
        <v>295</v>
      </c>
      <c r="D10" s="258">
        <f>D12+D13</f>
        <v>74</v>
      </c>
      <c r="E10" s="258">
        <f>E12+E13</f>
        <v>79.100000000000009</v>
      </c>
      <c r="F10" s="258">
        <f>F12+F13</f>
        <v>73.900000000000006</v>
      </c>
      <c r="G10" s="258">
        <f>G12+G13</f>
        <v>74.699999999999989</v>
      </c>
      <c r="H10" s="259">
        <f>H12+H13</f>
        <v>75.400000000000006</v>
      </c>
    </row>
    <row r="11" spans="1:8" ht="15.75">
      <c r="A11" s="384"/>
      <c r="B11" s="55" t="s">
        <v>245</v>
      </c>
      <c r="C11" s="387"/>
      <c r="D11" s="284"/>
      <c r="E11" s="56"/>
      <c r="F11" s="56"/>
      <c r="G11" s="56"/>
      <c r="H11" s="57"/>
    </row>
    <row r="12" spans="1:8" ht="15.75">
      <c r="A12" s="384"/>
      <c r="B12" s="58" t="s">
        <v>314</v>
      </c>
      <c r="C12" s="387"/>
      <c r="D12" s="59">
        <v>64.3</v>
      </c>
      <c r="E12" s="59">
        <v>69.400000000000006</v>
      </c>
      <c r="F12" s="59">
        <v>66.400000000000006</v>
      </c>
      <c r="G12" s="313">
        <v>67.099999999999994</v>
      </c>
      <c r="H12" s="60">
        <v>67.7</v>
      </c>
    </row>
    <row r="13" spans="1:8" ht="16.5" thickBot="1">
      <c r="A13" s="385"/>
      <c r="B13" s="61" t="s">
        <v>315</v>
      </c>
      <c r="C13" s="388"/>
      <c r="D13" s="62">
        <v>9.6999999999999993</v>
      </c>
      <c r="E13" s="62">
        <v>9.6999999999999993</v>
      </c>
      <c r="F13" s="62">
        <v>7.5</v>
      </c>
      <c r="G13" s="314">
        <v>7.6</v>
      </c>
      <c r="H13" s="63">
        <v>7.7</v>
      </c>
    </row>
    <row r="14" spans="1:8" ht="15.75">
      <c r="A14" s="383" t="s">
        <v>316</v>
      </c>
      <c r="B14" s="54" t="s">
        <v>445</v>
      </c>
      <c r="C14" s="386" t="s">
        <v>299</v>
      </c>
      <c r="D14" s="64">
        <f>D16+D17+D18</f>
        <v>121.10000000000001</v>
      </c>
      <c r="E14" s="260">
        <f>E16+E17+E18</f>
        <v>123.39999999999999</v>
      </c>
      <c r="F14" s="64">
        <f>F16+F17+F18</f>
        <v>126.4</v>
      </c>
      <c r="G14" s="64">
        <f>G16+G17+G18</f>
        <v>127.7</v>
      </c>
      <c r="H14" s="65">
        <f>H16+H17+H18</f>
        <v>128.9</v>
      </c>
    </row>
    <row r="15" spans="1:8" ht="15.75">
      <c r="A15" s="384"/>
      <c r="B15" s="55" t="s">
        <v>245</v>
      </c>
      <c r="C15" s="387"/>
      <c r="D15" s="284"/>
      <c r="E15" s="56"/>
      <c r="F15" s="56"/>
      <c r="G15" s="56"/>
      <c r="H15" s="57"/>
    </row>
    <row r="16" spans="1:8" ht="15.75">
      <c r="A16" s="384"/>
      <c r="B16" s="58" t="s">
        <v>317</v>
      </c>
      <c r="C16" s="387"/>
      <c r="D16" s="261">
        <v>83.2</v>
      </c>
      <c r="E16" s="66">
        <v>85</v>
      </c>
      <c r="F16" s="66">
        <v>84.4</v>
      </c>
      <c r="G16" s="315">
        <v>85.3</v>
      </c>
      <c r="H16" s="67">
        <v>86.1</v>
      </c>
    </row>
    <row r="17" spans="1:9" ht="15.75">
      <c r="A17" s="384"/>
      <c r="B17" s="58" t="s">
        <v>315</v>
      </c>
      <c r="C17" s="387"/>
      <c r="D17" s="66">
        <v>19.100000000000001</v>
      </c>
      <c r="E17" s="66">
        <v>19.600000000000001</v>
      </c>
      <c r="F17" s="66">
        <v>22</v>
      </c>
      <c r="G17" s="315">
        <v>22.2</v>
      </c>
      <c r="H17" s="67">
        <v>22.4</v>
      </c>
    </row>
    <row r="18" spans="1:9" ht="16.5" thickBot="1">
      <c r="A18" s="385"/>
      <c r="B18" s="61" t="s">
        <v>318</v>
      </c>
      <c r="C18" s="388"/>
      <c r="D18" s="62">
        <v>18.8</v>
      </c>
      <c r="E18" s="62">
        <v>18.8</v>
      </c>
      <c r="F18" s="62">
        <v>20</v>
      </c>
      <c r="G18" s="314">
        <v>20.2</v>
      </c>
      <c r="H18" s="63">
        <v>20.399999999999999</v>
      </c>
    </row>
    <row r="19" spans="1:9" ht="16.5" thickBot="1">
      <c r="A19" s="68" t="s">
        <v>319</v>
      </c>
      <c r="B19" s="69" t="s">
        <v>320</v>
      </c>
      <c r="C19" s="70" t="s">
        <v>321</v>
      </c>
      <c r="D19" s="316">
        <v>1149.95</v>
      </c>
      <c r="E19" s="262">
        <v>1050</v>
      </c>
      <c r="F19" s="262">
        <v>1100</v>
      </c>
      <c r="G19" s="317">
        <v>1100</v>
      </c>
      <c r="H19" s="263">
        <v>1100</v>
      </c>
      <c r="I19" s="73"/>
    </row>
    <row r="20" spans="1:9" ht="16.5" thickBot="1">
      <c r="A20" s="68" t="s">
        <v>322</v>
      </c>
      <c r="B20" s="69" t="s">
        <v>323</v>
      </c>
      <c r="C20" s="70" t="s">
        <v>293</v>
      </c>
      <c r="D20" s="71">
        <v>156.69999999999999</v>
      </c>
      <c r="E20" s="71">
        <v>239.5</v>
      </c>
      <c r="F20" s="71">
        <v>278.5</v>
      </c>
      <c r="G20" s="318">
        <v>278.5</v>
      </c>
      <c r="H20" s="72">
        <v>278.5</v>
      </c>
    </row>
    <row r="21" spans="1:9" ht="16.5" thickBot="1">
      <c r="A21" s="68" t="s">
        <v>324</v>
      </c>
      <c r="B21" s="69" t="s">
        <v>306</v>
      </c>
      <c r="C21" s="70" t="s">
        <v>293</v>
      </c>
      <c r="D21" s="71">
        <v>45.2</v>
      </c>
      <c r="E21" s="71">
        <v>40.5</v>
      </c>
      <c r="F21" s="71">
        <v>42.5</v>
      </c>
      <c r="G21" s="318">
        <v>42.5</v>
      </c>
      <c r="H21" s="72">
        <v>42.5</v>
      </c>
    </row>
    <row r="22" spans="1:9" ht="16.5" thickBot="1">
      <c r="A22" s="68" t="s">
        <v>325</v>
      </c>
      <c r="B22" s="69" t="s">
        <v>493</v>
      </c>
      <c r="C22" s="70" t="s">
        <v>500</v>
      </c>
      <c r="D22" s="71"/>
      <c r="E22" s="262">
        <v>40</v>
      </c>
      <c r="F22" s="262">
        <v>270</v>
      </c>
      <c r="G22" s="317">
        <v>600</v>
      </c>
      <c r="H22" s="263">
        <v>600</v>
      </c>
    </row>
    <row r="23" spans="1:9" ht="16.5" thickBot="1">
      <c r="A23" s="68" t="s">
        <v>501</v>
      </c>
      <c r="B23" s="69" t="s">
        <v>307</v>
      </c>
      <c r="C23" s="70" t="s">
        <v>293</v>
      </c>
      <c r="D23" s="71">
        <v>248.3</v>
      </c>
      <c r="E23" s="316">
        <v>254.22</v>
      </c>
      <c r="F23" s="316">
        <v>266.92</v>
      </c>
      <c r="G23" s="319">
        <v>266.92</v>
      </c>
      <c r="H23" s="320">
        <v>266.92</v>
      </c>
    </row>
    <row r="26" spans="1:9" ht="18.75">
      <c r="A26" s="74"/>
    </row>
    <row r="27" spans="1:9" ht="18.75">
      <c r="A27" s="74"/>
    </row>
    <row r="28" spans="1:9" ht="18.75">
      <c r="A28" s="74"/>
    </row>
    <row r="29" spans="1:9" ht="15.75">
      <c r="A29" s="75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Normal="100" workbookViewId="0">
      <selection activeCell="D24" sqref="D24"/>
    </sheetView>
  </sheetViews>
  <sheetFormatPr defaultRowHeight="15"/>
  <cols>
    <col min="1" max="1" width="38.5703125" style="51" customWidth="1"/>
    <col min="2" max="2" width="14" style="51" customWidth="1"/>
    <col min="3" max="3" width="15" style="51" customWidth="1"/>
    <col min="4" max="4" width="19.28515625" style="51" customWidth="1"/>
    <col min="5" max="5" width="14.140625" style="51" customWidth="1"/>
    <col min="6" max="256" width="9.140625" style="51"/>
    <col min="257" max="257" width="38.5703125" style="51" customWidth="1"/>
    <col min="258" max="258" width="14" style="51" customWidth="1"/>
    <col min="259" max="259" width="15" style="51" customWidth="1"/>
    <col min="260" max="260" width="19.28515625" style="51" customWidth="1"/>
    <col min="261" max="261" width="14.140625" style="51" customWidth="1"/>
    <col min="262" max="512" width="9.140625" style="51"/>
    <col min="513" max="513" width="38.5703125" style="51" customWidth="1"/>
    <col min="514" max="514" width="14" style="51" customWidth="1"/>
    <col min="515" max="515" width="15" style="51" customWidth="1"/>
    <col min="516" max="516" width="19.28515625" style="51" customWidth="1"/>
    <col min="517" max="517" width="14.140625" style="51" customWidth="1"/>
    <col min="518" max="768" width="9.140625" style="51"/>
    <col min="769" max="769" width="38.5703125" style="51" customWidth="1"/>
    <col min="770" max="770" width="14" style="51" customWidth="1"/>
    <col min="771" max="771" width="15" style="51" customWidth="1"/>
    <col min="772" max="772" width="19.28515625" style="51" customWidth="1"/>
    <col min="773" max="773" width="14.140625" style="51" customWidth="1"/>
    <col min="774" max="1024" width="9.140625" style="51"/>
    <col min="1025" max="1025" width="38.5703125" style="51" customWidth="1"/>
    <col min="1026" max="1026" width="14" style="51" customWidth="1"/>
    <col min="1027" max="1027" width="15" style="51" customWidth="1"/>
    <col min="1028" max="1028" width="19.28515625" style="51" customWidth="1"/>
    <col min="1029" max="1029" width="14.140625" style="51" customWidth="1"/>
    <col min="1030" max="1280" width="9.140625" style="51"/>
    <col min="1281" max="1281" width="38.5703125" style="51" customWidth="1"/>
    <col min="1282" max="1282" width="14" style="51" customWidth="1"/>
    <col min="1283" max="1283" width="15" style="51" customWidth="1"/>
    <col min="1284" max="1284" width="19.28515625" style="51" customWidth="1"/>
    <col min="1285" max="1285" width="14.140625" style="51" customWidth="1"/>
    <col min="1286" max="1536" width="9.140625" style="51"/>
    <col min="1537" max="1537" width="38.5703125" style="51" customWidth="1"/>
    <col min="1538" max="1538" width="14" style="51" customWidth="1"/>
    <col min="1539" max="1539" width="15" style="51" customWidth="1"/>
    <col min="1540" max="1540" width="19.28515625" style="51" customWidth="1"/>
    <col min="1541" max="1541" width="14.140625" style="51" customWidth="1"/>
    <col min="1542" max="1792" width="9.140625" style="51"/>
    <col min="1793" max="1793" width="38.5703125" style="51" customWidth="1"/>
    <col min="1794" max="1794" width="14" style="51" customWidth="1"/>
    <col min="1795" max="1795" width="15" style="51" customWidth="1"/>
    <col min="1796" max="1796" width="19.28515625" style="51" customWidth="1"/>
    <col min="1797" max="1797" width="14.140625" style="51" customWidth="1"/>
    <col min="1798" max="2048" width="9.140625" style="51"/>
    <col min="2049" max="2049" width="38.5703125" style="51" customWidth="1"/>
    <col min="2050" max="2050" width="14" style="51" customWidth="1"/>
    <col min="2051" max="2051" width="15" style="51" customWidth="1"/>
    <col min="2052" max="2052" width="19.28515625" style="51" customWidth="1"/>
    <col min="2053" max="2053" width="14.140625" style="51" customWidth="1"/>
    <col min="2054" max="2304" width="9.140625" style="51"/>
    <col min="2305" max="2305" width="38.5703125" style="51" customWidth="1"/>
    <col min="2306" max="2306" width="14" style="51" customWidth="1"/>
    <col min="2307" max="2307" width="15" style="51" customWidth="1"/>
    <col min="2308" max="2308" width="19.28515625" style="51" customWidth="1"/>
    <col min="2309" max="2309" width="14.140625" style="51" customWidth="1"/>
    <col min="2310" max="2560" width="9.140625" style="51"/>
    <col min="2561" max="2561" width="38.5703125" style="51" customWidth="1"/>
    <col min="2562" max="2562" width="14" style="51" customWidth="1"/>
    <col min="2563" max="2563" width="15" style="51" customWidth="1"/>
    <col min="2564" max="2564" width="19.28515625" style="51" customWidth="1"/>
    <col min="2565" max="2565" width="14.140625" style="51" customWidth="1"/>
    <col min="2566" max="2816" width="9.140625" style="51"/>
    <col min="2817" max="2817" width="38.5703125" style="51" customWidth="1"/>
    <col min="2818" max="2818" width="14" style="51" customWidth="1"/>
    <col min="2819" max="2819" width="15" style="51" customWidth="1"/>
    <col min="2820" max="2820" width="19.28515625" style="51" customWidth="1"/>
    <col min="2821" max="2821" width="14.140625" style="51" customWidth="1"/>
    <col min="2822" max="3072" width="9.140625" style="51"/>
    <col min="3073" max="3073" width="38.5703125" style="51" customWidth="1"/>
    <col min="3074" max="3074" width="14" style="51" customWidth="1"/>
    <col min="3075" max="3075" width="15" style="51" customWidth="1"/>
    <col min="3076" max="3076" width="19.28515625" style="51" customWidth="1"/>
    <col min="3077" max="3077" width="14.140625" style="51" customWidth="1"/>
    <col min="3078" max="3328" width="9.140625" style="51"/>
    <col min="3329" max="3329" width="38.5703125" style="51" customWidth="1"/>
    <col min="3330" max="3330" width="14" style="51" customWidth="1"/>
    <col min="3331" max="3331" width="15" style="51" customWidth="1"/>
    <col min="3332" max="3332" width="19.28515625" style="51" customWidth="1"/>
    <col min="3333" max="3333" width="14.140625" style="51" customWidth="1"/>
    <col min="3334" max="3584" width="9.140625" style="51"/>
    <col min="3585" max="3585" width="38.5703125" style="51" customWidth="1"/>
    <col min="3586" max="3586" width="14" style="51" customWidth="1"/>
    <col min="3587" max="3587" width="15" style="51" customWidth="1"/>
    <col min="3588" max="3588" width="19.28515625" style="51" customWidth="1"/>
    <col min="3589" max="3589" width="14.140625" style="51" customWidth="1"/>
    <col min="3590" max="3840" width="9.140625" style="51"/>
    <col min="3841" max="3841" width="38.5703125" style="51" customWidth="1"/>
    <col min="3842" max="3842" width="14" style="51" customWidth="1"/>
    <col min="3843" max="3843" width="15" style="51" customWidth="1"/>
    <col min="3844" max="3844" width="19.28515625" style="51" customWidth="1"/>
    <col min="3845" max="3845" width="14.140625" style="51" customWidth="1"/>
    <col min="3846" max="4096" width="9.140625" style="51"/>
    <col min="4097" max="4097" width="38.5703125" style="51" customWidth="1"/>
    <col min="4098" max="4098" width="14" style="51" customWidth="1"/>
    <col min="4099" max="4099" width="15" style="51" customWidth="1"/>
    <col min="4100" max="4100" width="19.28515625" style="51" customWidth="1"/>
    <col min="4101" max="4101" width="14.140625" style="51" customWidth="1"/>
    <col min="4102" max="4352" width="9.140625" style="51"/>
    <col min="4353" max="4353" width="38.5703125" style="51" customWidth="1"/>
    <col min="4354" max="4354" width="14" style="51" customWidth="1"/>
    <col min="4355" max="4355" width="15" style="51" customWidth="1"/>
    <col min="4356" max="4356" width="19.28515625" style="51" customWidth="1"/>
    <col min="4357" max="4357" width="14.140625" style="51" customWidth="1"/>
    <col min="4358" max="4608" width="9.140625" style="51"/>
    <col min="4609" max="4609" width="38.5703125" style="51" customWidth="1"/>
    <col min="4610" max="4610" width="14" style="51" customWidth="1"/>
    <col min="4611" max="4611" width="15" style="51" customWidth="1"/>
    <col min="4612" max="4612" width="19.28515625" style="51" customWidth="1"/>
    <col min="4613" max="4613" width="14.140625" style="51" customWidth="1"/>
    <col min="4614" max="4864" width="9.140625" style="51"/>
    <col min="4865" max="4865" width="38.5703125" style="51" customWidth="1"/>
    <col min="4866" max="4866" width="14" style="51" customWidth="1"/>
    <col min="4867" max="4867" width="15" style="51" customWidth="1"/>
    <col min="4868" max="4868" width="19.28515625" style="51" customWidth="1"/>
    <col min="4869" max="4869" width="14.140625" style="51" customWidth="1"/>
    <col min="4870" max="5120" width="9.140625" style="51"/>
    <col min="5121" max="5121" width="38.5703125" style="51" customWidth="1"/>
    <col min="5122" max="5122" width="14" style="51" customWidth="1"/>
    <col min="5123" max="5123" width="15" style="51" customWidth="1"/>
    <col min="5124" max="5124" width="19.28515625" style="51" customWidth="1"/>
    <col min="5125" max="5125" width="14.140625" style="51" customWidth="1"/>
    <col min="5126" max="5376" width="9.140625" style="51"/>
    <col min="5377" max="5377" width="38.5703125" style="51" customWidth="1"/>
    <col min="5378" max="5378" width="14" style="51" customWidth="1"/>
    <col min="5379" max="5379" width="15" style="51" customWidth="1"/>
    <col min="5380" max="5380" width="19.28515625" style="51" customWidth="1"/>
    <col min="5381" max="5381" width="14.140625" style="51" customWidth="1"/>
    <col min="5382" max="5632" width="9.140625" style="51"/>
    <col min="5633" max="5633" width="38.5703125" style="51" customWidth="1"/>
    <col min="5634" max="5634" width="14" style="51" customWidth="1"/>
    <col min="5635" max="5635" width="15" style="51" customWidth="1"/>
    <col min="5636" max="5636" width="19.28515625" style="51" customWidth="1"/>
    <col min="5637" max="5637" width="14.140625" style="51" customWidth="1"/>
    <col min="5638" max="5888" width="9.140625" style="51"/>
    <col min="5889" max="5889" width="38.5703125" style="51" customWidth="1"/>
    <col min="5890" max="5890" width="14" style="51" customWidth="1"/>
    <col min="5891" max="5891" width="15" style="51" customWidth="1"/>
    <col min="5892" max="5892" width="19.28515625" style="51" customWidth="1"/>
    <col min="5893" max="5893" width="14.140625" style="51" customWidth="1"/>
    <col min="5894" max="6144" width="9.140625" style="51"/>
    <col min="6145" max="6145" width="38.5703125" style="51" customWidth="1"/>
    <col min="6146" max="6146" width="14" style="51" customWidth="1"/>
    <col min="6147" max="6147" width="15" style="51" customWidth="1"/>
    <col min="6148" max="6148" width="19.28515625" style="51" customWidth="1"/>
    <col min="6149" max="6149" width="14.140625" style="51" customWidth="1"/>
    <col min="6150" max="6400" width="9.140625" style="51"/>
    <col min="6401" max="6401" width="38.5703125" style="51" customWidth="1"/>
    <col min="6402" max="6402" width="14" style="51" customWidth="1"/>
    <col min="6403" max="6403" width="15" style="51" customWidth="1"/>
    <col min="6404" max="6404" width="19.28515625" style="51" customWidth="1"/>
    <col min="6405" max="6405" width="14.140625" style="51" customWidth="1"/>
    <col min="6406" max="6656" width="9.140625" style="51"/>
    <col min="6657" max="6657" width="38.5703125" style="51" customWidth="1"/>
    <col min="6658" max="6658" width="14" style="51" customWidth="1"/>
    <col min="6659" max="6659" width="15" style="51" customWidth="1"/>
    <col min="6660" max="6660" width="19.28515625" style="51" customWidth="1"/>
    <col min="6661" max="6661" width="14.140625" style="51" customWidth="1"/>
    <col min="6662" max="6912" width="9.140625" style="51"/>
    <col min="6913" max="6913" width="38.5703125" style="51" customWidth="1"/>
    <col min="6914" max="6914" width="14" style="51" customWidth="1"/>
    <col min="6915" max="6915" width="15" style="51" customWidth="1"/>
    <col min="6916" max="6916" width="19.28515625" style="51" customWidth="1"/>
    <col min="6917" max="6917" width="14.140625" style="51" customWidth="1"/>
    <col min="6918" max="7168" width="9.140625" style="51"/>
    <col min="7169" max="7169" width="38.5703125" style="51" customWidth="1"/>
    <col min="7170" max="7170" width="14" style="51" customWidth="1"/>
    <col min="7171" max="7171" width="15" style="51" customWidth="1"/>
    <col min="7172" max="7172" width="19.28515625" style="51" customWidth="1"/>
    <col min="7173" max="7173" width="14.140625" style="51" customWidth="1"/>
    <col min="7174" max="7424" width="9.140625" style="51"/>
    <col min="7425" max="7425" width="38.5703125" style="51" customWidth="1"/>
    <col min="7426" max="7426" width="14" style="51" customWidth="1"/>
    <col min="7427" max="7427" width="15" style="51" customWidth="1"/>
    <col min="7428" max="7428" width="19.28515625" style="51" customWidth="1"/>
    <col min="7429" max="7429" width="14.140625" style="51" customWidth="1"/>
    <col min="7430" max="7680" width="9.140625" style="51"/>
    <col min="7681" max="7681" width="38.5703125" style="51" customWidth="1"/>
    <col min="7682" max="7682" width="14" style="51" customWidth="1"/>
    <col min="7683" max="7683" width="15" style="51" customWidth="1"/>
    <col min="7684" max="7684" width="19.28515625" style="51" customWidth="1"/>
    <col min="7685" max="7685" width="14.140625" style="51" customWidth="1"/>
    <col min="7686" max="7936" width="9.140625" style="51"/>
    <col min="7937" max="7937" width="38.5703125" style="51" customWidth="1"/>
    <col min="7938" max="7938" width="14" style="51" customWidth="1"/>
    <col min="7939" max="7939" width="15" style="51" customWidth="1"/>
    <col min="7940" max="7940" width="19.28515625" style="51" customWidth="1"/>
    <col min="7941" max="7941" width="14.140625" style="51" customWidth="1"/>
    <col min="7942" max="8192" width="9.140625" style="51"/>
    <col min="8193" max="8193" width="38.5703125" style="51" customWidth="1"/>
    <col min="8194" max="8194" width="14" style="51" customWidth="1"/>
    <col min="8195" max="8195" width="15" style="51" customWidth="1"/>
    <col min="8196" max="8196" width="19.28515625" style="51" customWidth="1"/>
    <col min="8197" max="8197" width="14.140625" style="51" customWidth="1"/>
    <col min="8198" max="8448" width="9.140625" style="51"/>
    <col min="8449" max="8449" width="38.5703125" style="51" customWidth="1"/>
    <col min="8450" max="8450" width="14" style="51" customWidth="1"/>
    <col min="8451" max="8451" width="15" style="51" customWidth="1"/>
    <col min="8452" max="8452" width="19.28515625" style="51" customWidth="1"/>
    <col min="8453" max="8453" width="14.140625" style="51" customWidth="1"/>
    <col min="8454" max="8704" width="9.140625" style="51"/>
    <col min="8705" max="8705" width="38.5703125" style="51" customWidth="1"/>
    <col min="8706" max="8706" width="14" style="51" customWidth="1"/>
    <col min="8707" max="8707" width="15" style="51" customWidth="1"/>
    <col min="8708" max="8708" width="19.28515625" style="51" customWidth="1"/>
    <col min="8709" max="8709" width="14.140625" style="51" customWidth="1"/>
    <col min="8710" max="8960" width="9.140625" style="51"/>
    <col min="8961" max="8961" width="38.5703125" style="51" customWidth="1"/>
    <col min="8962" max="8962" width="14" style="51" customWidth="1"/>
    <col min="8963" max="8963" width="15" style="51" customWidth="1"/>
    <col min="8964" max="8964" width="19.28515625" style="51" customWidth="1"/>
    <col min="8965" max="8965" width="14.140625" style="51" customWidth="1"/>
    <col min="8966" max="9216" width="9.140625" style="51"/>
    <col min="9217" max="9217" width="38.5703125" style="51" customWidth="1"/>
    <col min="9218" max="9218" width="14" style="51" customWidth="1"/>
    <col min="9219" max="9219" width="15" style="51" customWidth="1"/>
    <col min="9220" max="9220" width="19.28515625" style="51" customWidth="1"/>
    <col min="9221" max="9221" width="14.140625" style="51" customWidth="1"/>
    <col min="9222" max="9472" width="9.140625" style="51"/>
    <col min="9473" max="9473" width="38.5703125" style="51" customWidth="1"/>
    <col min="9474" max="9474" width="14" style="51" customWidth="1"/>
    <col min="9475" max="9475" width="15" style="51" customWidth="1"/>
    <col min="9476" max="9476" width="19.28515625" style="51" customWidth="1"/>
    <col min="9477" max="9477" width="14.140625" style="51" customWidth="1"/>
    <col min="9478" max="9728" width="9.140625" style="51"/>
    <col min="9729" max="9729" width="38.5703125" style="51" customWidth="1"/>
    <col min="9730" max="9730" width="14" style="51" customWidth="1"/>
    <col min="9731" max="9731" width="15" style="51" customWidth="1"/>
    <col min="9732" max="9732" width="19.28515625" style="51" customWidth="1"/>
    <col min="9733" max="9733" width="14.140625" style="51" customWidth="1"/>
    <col min="9734" max="9984" width="9.140625" style="51"/>
    <col min="9985" max="9985" width="38.5703125" style="51" customWidth="1"/>
    <col min="9986" max="9986" width="14" style="51" customWidth="1"/>
    <col min="9987" max="9987" width="15" style="51" customWidth="1"/>
    <col min="9988" max="9988" width="19.28515625" style="51" customWidth="1"/>
    <col min="9989" max="9989" width="14.140625" style="51" customWidth="1"/>
    <col min="9990" max="10240" width="9.140625" style="51"/>
    <col min="10241" max="10241" width="38.5703125" style="51" customWidth="1"/>
    <col min="10242" max="10242" width="14" style="51" customWidth="1"/>
    <col min="10243" max="10243" width="15" style="51" customWidth="1"/>
    <col min="10244" max="10244" width="19.28515625" style="51" customWidth="1"/>
    <col min="10245" max="10245" width="14.140625" style="51" customWidth="1"/>
    <col min="10246" max="10496" width="9.140625" style="51"/>
    <col min="10497" max="10497" width="38.5703125" style="51" customWidth="1"/>
    <col min="10498" max="10498" width="14" style="51" customWidth="1"/>
    <col min="10499" max="10499" width="15" style="51" customWidth="1"/>
    <col min="10500" max="10500" width="19.28515625" style="51" customWidth="1"/>
    <col min="10501" max="10501" width="14.140625" style="51" customWidth="1"/>
    <col min="10502" max="10752" width="9.140625" style="51"/>
    <col min="10753" max="10753" width="38.5703125" style="51" customWidth="1"/>
    <col min="10754" max="10754" width="14" style="51" customWidth="1"/>
    <col min="10755" max="10755" width="15" style="51" customWidth="1"/>
    <col min="10756" max="10756" width="19.28515625" style="51" customWidth="1"/>
    <col min="10757" max="10757" width="14.140625" style="51" customWidth="1"/>
    <col min="10758" max="11008" width="9.140625" style="51"/>
    <col min="11009" max="11009" width="38.5703125" style="51" customWidth="1"/>
    <col min="11010" max="11010" width="14" style="51" customWidth="1"/>
    <col min="11011" max="11011" width="15" style="51" customWidth="1"/>
    <col min="11012" max="11012" width="19.28515625" style="51" customWidth="1"/>
    <col min="11013" max="11013" width="14.140625" style="51" customWidth="1"/>
    <col min="11014" max="11264" width="9.140625" style="51"/>
    <col min="11265" max="11265" width="38.5703125" style="51" customWidth="1"/>
    <col min="11266" max="11266" width="14" style="51" customWidth="1"/>
    <col min="11267" max="11267" width="15" style="51" customWidth="1"/>
    <col min="11268" max="11268" width="19.28515625" style="51" customWidth="1"/>
    <col min="11269" max="11269" width="14.140625" style="51" customWidth="1"/>
    <col min="11270" max="11520" width="9.140625" style="51"/>
    <col min="11521" max="11521" width="38.5703125" style="51" customWidth="1"/>
    <col min="11522" max="11522" width="14" style="51" customWidth="1"/>
    <col min="11523" max="11523" width="15" style="51" customWidth="1"/>
    <col min="11524" max="11524" width="19.28515625" style="51" customWidth="1"/>
    <col min="11525" max="11525" width="14.140625" style="51" customWidth="1"/>
    <col min="11526" max="11776" width="9.140625" style="51"/>
    <col min="11777" max="11777" width="38.5703125" style="51" customWidth="1"/>
    <col min="11778" max="11778" width="14" style="51" customWidth="1"/>
    <col min="11779" max="11779" width="15" style="51" customWidth="1"/>
    <col min="11780" max="11780" width="19.28515625" style="51" customWidth="1"/>
    <col min="11781" max="11781" width="14.140625" style="51" customWidth="1"/>
    <col min="11782" max="12032" width="9.140625" style="51"/>
    <col min="12033" max="12033" width="38.5703125" style="51" customWidth="1"/>
    <col min="12034" max="12034" width="14" style="51" customWidth="1"/>
    <col min="12035" max="12035" width="15" style="51" customWidth="1"/>
    <col min="12036" max="12036" width="19.28515625" style="51" customWidth="1"/>
    <col min="12037" max="12037" width="14.140625" style="51" customWidth="1"/>
    <col min="12038" max="12288" width="9.140625" style="51"/>
    <col min="12289" max="12289" width="38.5703125" style="51" customWidth="1"/>
    <col min="12290" max="12290" width="14" style="51" customWidth="1"/>
    <col min="12291" max="12291" width="15" style="51" customWidth="1"/>
    <col min="12292" max="12292" width="19.28515625" style="51" customWidth="1"/>
    <col min="12293" max="12293" width="14.140625" style="51" customWidth="1"/>
    <col min="12294" max="12544" width="9.140625" style="51"/>
    <col min="12545" max="12545" width="38.5703125" style="51" customWidth="1"/>
    <col min="12546" max="12546" width="14" style="51" customWidth="1"/>
    <col min="12547" max="12547" width="15" style="51" customWidth="1"/>
    <col min="12548" max="12548" width="19.28515625" style="51" customWidth="1"/>
    <col min="12549" max="12549" width="14.140625" style="51" customWidth="1"/>
    <col min="12550" max="12800" width="9.140625" style="51"/>
    <col min="12801" max="12801" width="38.5703125" style="51" customWidth="1"/>
    <col min="12802" max="12802" width="14" style="51" customWidth="1"/>
    <col min="12803" max="12803" width="15" style="51" customWidth="1"/>
    <col min="12804" max="12804" width="19.28515625" style="51" customWidth="1"/>
    <col min="12805" max="12805" width="14.140625" style="51" customWidth="1"/>
    <col min="12806" max="13056" width="9.140625" style="51"/>
    <col min="13057" max="13057" width="38.5703125" style="51" customWidth="1"/>
    <col min="13058" max="13058" width="14" style="51" customWidth="1"/>
    <col min="13059" max="13059" width="15" style="51" customWidth="1"/>
    <col min="13060" max="13060" width="19.28515625" style="51" customWidth="1"/>
    <col min="13061" max="13061" width="14.140625" style="51" customWidth="1"/>
    <col min="13062" max="13312" width="9.140625" style="51"/>
    <col min="13313" max="13313" width="38.5703125" style="51" customWidth="1"/>
    <col min="13314" max="13314" width="14" style="51" customWidth="1"/>
    <col min="13315" max="13315" width="15" style="51" customWidth="1"/>
    <col min="13316" max="13316" width="19.28515625" style="51" customWidth="1"/>
    <col min="13317" max="13317" width="14.140625" style="51" customWidth="1"/>
    <col min="13318" max="13568" width="9.140625" style="51"/>
    <col min="13569" max="13569" width="38.5703125" style="51" customWidth="1"/>
    <col min="13570" max="13570" width="14" style="51" customWidth="1"/>
    <col min="13571" max="13571" width="15" style="51" customWidth="1"/>
    <col min="13572" max="13572" width="19.28515625" style="51" customWidth="1"/>
    <col min="13573" max="13573" width="14.140625" style="51" customWidth="1"/>
    <col min="13574" max="13824" width="9.140625" style="51"/>
    <col min="13825" max="13825" width="38.5703125" style="51" customWidth="1"/>
    <col min="13826" max="13826" width="14" style="51" customWidth="1"/>
    <col min="13827" max="13827" width="15" style="51" customWidth="1"/>
    <col min="13828" max="13828" width="19.28515625" style="51" customWidth="1"/>
    <col min="13829" max="13829" width="14.140625" style="51" customWidth="1"/>
    <col min="13830" max="14080" width="9.140625" style="51"/>
    <col min="14081" max="14081" width="38.5703125" style="51" customWidth="1"/>
    <col min="14082" max="14082" width="14" style="51" customWidth="1"/>
    <col min="14083" max="14083" width="15" style="51" customWidth="1"/>
    <col min="14084" max="14084" width="19.28515625" style="51" customWidth="1"/>
    <col min="14085" max="14085" width="14.140625" style="51" customWidth="1"/>
    <col min="14086" max="14336" width="9.140625" style="51"/>
    <col min="14337" max="14337" width="38.5703125" style="51" customWidth="1"/>
    <col min="14338" max="14338" width="14" style="51" customWidth="1"/>
    <col min="14339" max="14339" width="15" style="51" customWidth="1"/>
    <col min="14340" max="14340" width="19.28515625" style="51" customWidth="1"/>
    <col min="14341" max="14341" width="14.140625" style="51" customWidth="1"/>
    <col min="14342" max="14592" width="9.140625" style="51"/>
    <col min="14593" max="14593" width="38.5703125" style="51" customWidth="1"/>
    <col min="14594" max="14594" width="14" style="51" customWidth="1"/>
    <col min="14595" max="14595" width="15" style="51" customWidth="1"/>
    <col min="14596" max="14596" width="19.28515625" style="51" customWidth="1"/>
    <col min="14597" max="14597" width="14.140625" style="51" customWidth="1"/>
    <col min="14598" max="14848" width="9.140625" style="51"/>
    <col min="14849" max="14849" width="38.5703125" style="51" customWidth="1"/>
    <col min="14850" max="14850" width="14" style="51" customWidth="1"/>
    <col min="14851" max="14851" width="15" style="51" customWidth="1"/>
    <col min="14852" max="14852" width="19.28515625" style="51" customWidth="1"/>
    <col min="14853" max="14853" width="14.140625" style="51" customWidth="1"/>
    <col min="14854" max="15104" width="9.140625" style="51"/>
    <col min="15105" max="15105" width="38.5703125" style="51" customWidth="1"/>
    <col min="15106" max="15106" width="14" style="51" customWidth="1"/>
    <col min="15107" max="15107" width="15" style="51" customWidth="1"/>
    <col min="15108" max="15108" width="19.28515625" style="51" customWidth="1"/>
    <col min="15109" max="15109" width="14.140625" style="51" customWidth="1"/>
    <col min="15110" max="15360" width="9.140625" style="51"/>
    <col min="15361" max="15361" width="38.5703125" style="51" customWidth="1"/>
    <col min="15362" max="15362" width="14" style="51" customWidth="1"/>
    <col min="15363" max="15363" width="15" style="51" customWidth="1"/>
    <col min="15364" max="15364" width="19.28515625" style="51" customWidth="1"/>
    <col min="15365" max="15365" width="14.140625" style="51" customWidth="1"/>
    <col min="15366" max="15616" width="9.140625" style="51"/>
    <col min="15617" max="15617" width="38.5703125" style="51" customWidth="1"/>
    <col min="15618" max="15618" width="14" style="51" customWidth="1"/>
    <col min="15619" max="15619" width="15" style="51" customWidth="1"/>
    <col min="15620" max="15620" width="19.28515625" style="51" customWidth="1"/>
    <col min="15621" max="15621" width="14.140625" style="51" customWidth="1"/>
    <col min="15622" max="15872" width="9.140625" style="51"/>
    <col min="15873" max="15873" width="38.5703125" style="51" customWidth="1"/>
    <col min="15874" max="15874" width="14" style="51" customWidth="1"/>
    <col min="15875" max="15875" width="15" style="51" customWidth="1"/>
    <col min="15876" max="15876" width="19.28515625" style="51" customWidth="1"/>
    <col min="15877" max="15877" width="14.140625" style="51" customWidth="1"/>
    <col min="15878" max="16128" width="9.140625" style="51"/>
    <col min="16129" max="16129" width="38.5703125" style="51" customWidth="1"/>
    <col min="16130" max="16130" width="14" style="51" customWidth="1"/>
    <col min="16131" max="16131" width="15" style="51" customWidth="1"/>
    <col min="16132" max="16132" width="19.28515625" style="51" customWidth="1"/>
    <col min="16133" max="16133" width="14.140625" style="51" customWidth="1"/>
    <col min="16134" max="16384" width="9.140625" style="51"/>
  </cols>
  <sheetData>
    <row r="1" spans="1:8">
      <c r="D1" s="389" t="s">
        <v>326</v>
      </c>
      <c r="E1" s="389"/>
    </row>
    <row r="2" spans="1:8" ht="29.25" customHeight="1">
      <c r="C2" s="390" t="s">
        <v>495</v>
      </c>
      <c r="D2" s="390"/>
      <c r="E2" s="390"/>
    </row>
    <row r="4" spans="1:8" ht="47.25" customHeight="1">
      <c r="A4" s="399" t="s">
        <v>502</v>
      </c>
      <c r="B4" s="399"/>
      <c r="C4" s="399"/>
      <c r="D4" s="399"/>
      <c r="E4" s="399"/>
    </row>
    <row r="7" spans="1:8" ht="56.25">
      <c r="A7" s="76" t="s">
        <v>327</v>
      </c>
      <c r="B7" s="76" t="s">
        <v>309</v>
      </c>
      <c r="C7" s="76" t="s">
        <v>503</v>
      </c>
      <c r="D7" s="76" t="s">
        <v>504</v>
      </c>
      <c r="E7" s="76" t="s">
        <v>473</v>
      </c>
    </row>
    <row r="8" spans="1:8" ht="21.75" customHeight="1">
      <c r="A8" s="77" t="s">
        <v>329</v>
      </c>
      <c r="B8" s="78" t="s">
        <v>328</v>
      </c>
      <c r="C8" s="79">
        <v>115.96</v>
      </c>
      <c r="D8" s="79">
        <v>118.24</v>
      </c>
      <c r="E8" s="79">
        <v>124.15</v>
      </c>
    </row>
    <row r="9" spans="1:8" ht="18.75">
      <c r="A9" s="77" t="s">
        <v>330</v>
      </c>
      <c r="B9" s="78" t="s">
        <v>328</v>
      </c>
      <c r="C9" s="79">
        <v>126.04</v>
      </c>
      <c r="D9" s="321">
        <v>129.69999999999999</v>
      </c>
      <c r="E9" s="321">
        <v>136.18</v>
      </c>
    </row>
    <row r="10" spans="1:8" ht="25.5" customHeight="1">
      <c r="A10" s="77" t="s">
        <v>331</v>
      </c>
      <c r="B10" s="78" t="s">
        <v>328</v>
      </c>
      <c r="C10" s="321">
        <v>6.3</v>
      </c>
      <c r="D10" s="321">
        <v>6.28</v>
      </c>
      <c r="E10" s="321">
        <v>6.59</v>
      </c>
    </row>
    <row r="11" spans="1:8" ht="19.5">
      <c r="A11" s="80" t="s">
        <v>303</v>
      </c>
      <c r="B11" s="76" t="s">
        <v>328</v>
      </c>
      <c r="C11" s="322">
        <f>C8+C9+C10</f>
        <v>248.3</v>
      </c>
      <c r="D11" s="322">
        <f>D8+D9+D10</f>
        <v>254.22</v>
      </c>
      <c r="E11" s="322">
        <f>E8+E9+E10</f>
        <v>266.92</v>
      </c>
      <c r="H11" s="323"/>
    </row>
    <row r="14" spans="1:8" ht="41.25" customHeight="1">
      <c r="A14" s="399" t="s">
        <v>505</v>
      </c>
      <c r="B14" s="399"/>
      <c r="C14" s="399"/>
      <c r="D14" s="399"/>
      <c r="E14" s="399"/>
    </row>
    <row r="16" spans="1:8" ht="56.25">
      <c r="A16" s="76" t="s">
        <v>506</v>
      </c>
      <c r="B16" s="76" t="s">
        <v>309</v>
      </c>
      <c r="C16" s="76" t="s">
        <v>503</v>
      </c>
      <c r="D16" s="76" t="s">
        <v>504</v>
      </c>
      <c r="E16" s="76" t="s">
        <v>473</v>
      </c>
    </row>
    <row r="17" spans="1:5" ht="18.75">
      <c r="A17" s="77" t="s">
        <v>331</v>
      </c>
      <c r="B17" s="78" t="s">
        <v>328</v>
      </c>
      <c r="C17" s="79">
        <v>45.2</v>
      </c>
      <c r="D17" s="79">
        <v>40.47</v>
      </c>
      <c r="E17" s="79">
        <v>42.49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Normal="100" workbookViewId="0">
      <selection activeCell="D24" sqref="D24"/>
    </sheetView>
  </sheetViews>
  <sheetFormatPr defaultRowHeight="15"/>
  <cols>
    <col min="1" max="1" width="25.85546875" style="51" customWidth="1"/>
    <col min="2" max="2" width="12.7109375" style="51" customWidth="1"/>
    <col min="3" max="3" width="6.85546875" style="51" bestFit="1" customWidth="1"/>
    <col min="4" max="4" width="9.140625" style="51" customWidth="1"/>
    <col min="5" max="5" width="12.7109375" style="51" customWidth="1"/>
    <col min="6" max="6" width="7" style="51" bestFit="1" customWidth="1"/>
    <col min="7" max="7" width="11.28515625" style="51" customWidth="1"/>
    <col min="8" max="8" width="12.7109375" style="51" customWidth="1"/>
    <col min="9" max="9" width="9.42578125" style="51" bestFit="1" customWidth="1"/>
    <col min="10" max="10" width="10.5703125" style="51" customWidth="1"/>
    <col min="11" max="11" width="12.7109375" style="51" customWidth="1"/>
    <col min="12" max="256" width="9.140625" style="51"/>
    <col min="257" max="257" width="25.85546875" style="51" customWidth="1"/>
    <col min="258" max="258" width="12.7109375" style="51" customWidth="1"/>
    <col min="259" max="259" width="6.85546875" style="51" bestFit="1" customWidth="1"/>
    <col min="260" max="260" width="9.140625" style="51" customWidth="1"/>
    <col min="261" max="261" width="12.7109375" style="51" customWidth="1"/>
    <col min="262" max="262" width="7" style="51" bestFit="1" customWidth="1"/>
    <col min="263" max="263" width="11.28515625" style="51" customWidth="1"/>
    <col min="264" max="264" width="12.7109375" style="51" customWidth="1"/>
    <col min="265" max="265" width="9.42578125" style="51" bestFit="1" customWidth="1"/>
    <col min="266" max="266" width="10.5703125" style="51" customWidth="1"/>
    <col min="267" max="267" width="12.7109375" style="51" customWidth="1"/>
    <col min="268" max="512" width="9.140625" style="51"/>
    <col min="513" max="513" width="25.85546875" style="51" customWidth="1"/>
    <col min="514" max="514" width="12.7109375" style="51" customWidth="1"/>
    <col min="515" max="515" width="6.85546875" style="51" bestFit="1" customWidth="1"/>
    <col min="516" max="516" width="9.140625" style="51" customWidth="1"/>
    <col min="517" max="517" width="12.7109375" style="51" customWidth="1"/>
    <col min="518" max="518" width="7" style="51" bestFit="1" customWidth="1"/>
    <col min="519" max="519" width="11.28515625" style="51" customWidth="1"/>
    <col min="520" max="520" width="12.7109375" style="51" customWidth="1"/>
    <col min="521" max="521" width="9.42578125" style="51" bestFit="1" customWidth="1"/>
    <col min="522" max="522" width="10.5703125" style="51" customWidth="1"/>
    <col min="523" max="523" width="12.7109375" style="51" customWidth="1"/>
    <col min="524" max="768" width="9.140625" style="51"/>
    <col min="769" max="769" width="25.85546875" style="51" customWidth="1"/>
    <col min="770" max="770" width="12.7109375" style="51" customWidth="1"/>
    <col min="771" max="771" width="6.85546875" style="51" bestFit="1" customWidth="1"/>
    <col min="772" max="772" width="9.140625" style="51" customWidth="1"/>
    <col min="773" max="773" width="12.7109375" style="51" customWidth="1"/>
    <col min="774" max="774" width="7" style="51" bestFit="1" customWidth="1"/>
    <col min="775" max="775" width="11.28515625" style="51" customWidth="1"/>
    <col min="776" max="776" width="12.7109375" style="51" customWidth="1"/>
    <col min="777" max="777" width="9.42578125" style="51" bestFit="1" customWidth="1"/>
    <col min="778" max="778" width="10.5703125" style="51" customWidth="1"/>
    <col min="779" max="779" width="12.7109375" style="51" customWidth="1"/>
    <col min="780" max="1024" width="9.140625" style="51"/>
    <col min="1025" max="1025" width="25.85546875" style="51" customWidth="1"/>
    <col min="1026" max="1026" width="12.7109375" style="51" customWidth="1"/>
    <col min="1027" max="1027" width="6.85546875" style="51" bestFit="1" customWidth="1"/>
    <col min="1028" max="1028" width="9.140625" style="51" customWidth="1"/>
    <col min="1029" max="1029" width="12.7109375" style="51" customWidth="1"/>
    <col min="1030" max="1030" width="7" style="51" bestFit="1" customWidth="1"/>
    <col min="1031" max="1031" width="11.28515625" style="51" customWidth="1"/>
    <col min="1032" max="1032" width="12.7109375" style="51" customWidth="1"/>
    <col min="1033" max="1033" width="9.42578125" style="51" bestFit="1" customWidth="1"/>
    <col min="1034" max="1034" width="10.5703125" style="51" customWidth="1"/>
    <col min="1035" max="1035" width="12.7109375" style="51" customWidth="1"/>
    <col min="1036" max="1280" width="9.140625" style="51"/>
    <col min="1281" max="1281" width="25.85546875" style="51" customWidth="1"/>
    <col min="1282" max="1282" width="12.7109375" style="51" customWidth="1"/>
    <col min="1283" max="1283" width="6.85546875" style="51" bestFit="1" customWidth="1"/>
    <col min="1284" max="1284" width="9.140625" style="51" customWidth="1"/>
    <col min="1285" max="1285" width="12.7109375" style="51" customWidth="1"/>
    <col min="1286" max="1286" width="7" style="51" bestFit="1" customWidth="1"/>
    <col min="1287" max="1287" width="11.28515625" style="51" customWidth="1"/>
    <col min="1288" max="1288" width="12.7109375" style="51" customWidth="1"/>
    <col min="1289" max="1289" width="9.42578125" style="51" bestFit="1" customWidth="1"/>
    <col min="1290" max="1290" width="10.5703125" style="51" customWidth="1"/>
    <col min="1291" max="1291" width="12.7109375" style="51" customWidth="1"/>
    <col min="1292" max="1536" width="9.140625" style="51"/>
    <col min="1537" max="1537" width="25.85546875" style="51" customWidth="1"/>
    <col min="1538" max="1538" width="12.7109375" style="51" customWidth="1"/>
    <col min="1539" max="1539" width="6.85546875" style="51" bestFit="1" customWidth="1"/>
    <col min="1540" max="1540" width="9.140625" style="51" customWidth="1"/>
    <col min="1541" max="1541" width="12.7109375" style="51" customWidth="1"/>
    <col min="1542" max="1542" width="7" style="51" bestFit="1" customWidth="1"/>
    <col min="1543" max="1543" width="11.28515625" style="51" customWidth="1"/>
    <col min="1544" max="1544" width="12.7109375" style="51" customWidth="1"/>
    <col min="1545" max="1545" width="9.42578125" style="51" bestFit="1" customWidth="1"/>
    <col min="1546" max="1546" width="10.5703125" style="51" customWidth="1"/>
    <col min="1547" max="1547" width="12.7109375" style="51" customWidth="1"/>
    <col min="1548" max="1792" width="9.140625" style="51"/>
    <col min="1793" max="1793" width="25.85546875" style="51" customWidth="1"/>
    <col min="1794" max="1794" width="12.7109375" style="51" customWidth="1"/>
    <col min="1795" max="1795" width="6.85546875" style="51" bestFit="1" customWidth="1"/>
    <col min="1796" max="1796" width="9.140625" style="51" customWidth="1"/>
    <col min="1797" max="1797" width="12.7109375" style="51" customWidth="1"/>
    <col min="1798" max="1798" width="7" style="51" bestFit="1" customWidth="1"/>
    <col min="1799" max="1799" width="11.28515625" style="51" customWidth="1"/>
    <col min="1800" max="1800" width="12.7109375" style="51" customWidth="1"/>
    <col min="1801" max="1801" width="9.42578125" style="51" bestFit="1" customWidth="1"/>
    <col min="1802" max="1802" width="10.5703125" style="51" customWidth="1"/>
    <col min="1803" max="1803" width="12.7109375" style="51" customWidth="1"/>
    <col min="1804" max="2048" width="9.140625" style="51"/>
    <col min="2049" max="2049" width="25.85546875" style="51" customWidth="1"/>
    <col min="2050" max="2050" width="12.7109375" style="51" customWidth="1"/>
    <col min="2051" max="2051" width="6.85546875" style="51" bestFit="1" customWidth="1"/>
    <col min="2052" max="2052" width="9.140625" style="51" customWidth="1"/>
    <col min="2053" max="2053" width="12.7109375" style="51" customWidth="1"/>
    <col min="2054" max="2054" width="7" style="51" bestFit="1" customWidth="1"/>
    <col min="2055" max="2055" width="11.28515625" style="51" customWidth="1"/>
    <col min="2056" max="2056" width="12.7109375" style="51" customWidth="1"/>
    <col min="2057" max="2057" width="9.42578125" style="51" bestFit="1" customWidth="1"/>
    <col min="2058" max="2058" width="10.5703125" style="51" customWidth="1"/>
    <col min="2059" max="2059" width="12.7109375" style="51" customWidth="1"/>
    <col min="2060" max="2304" width="9.140625" style="51"/>
    <col min="2305" max="2305" width="25.85546875" style="51" customWidth="1"/>
    <col min="2306" max="2306" width="12.7109375" style="51" customWidth="1"/>
    <col min="2307" max="2307" width="6.85546875" style="51" bestFit="1" customWidth="1"/>
    <col min="2308" max="2308" width="9.140625" style="51" customWidth="1"/>
    <col min="2309" max="2309" width="12.7109375" style="51" customWidth="1"/>
    <col min="2310" max="2310" width="7" style="51" bestFit="1" customWidth="1"/>
    <col min="2311" max="2311" width="11.28515625" style="51" customWidth="1"/>
    <col min="2312" max="2312" width="12.7109375" style="51" customWidth="1"/>
    <col min="2313" max="2313" width="9.42578125" style="51" bestFit="1" customWidth="1"/>
    <col min="2314" max="2314" width="10.5703125" style="51" customWidth="1"/>
    <col min="2315" max="2315" width="12.7109375" style="51" customWidth="1"/>
    <col min="2316" max="2560" width="9.140625" style="51"/>
    <col min="2561" max="2561" width="25.85546875" style="51" customWidth="1"/>
    <col min="2562" max="2562" width="12.7109375" style="51" customWidth="1"/>
    <col min="2563" max="2563" width="6.85546875" style="51" bestFit="1" customWidth="1"/>
    <col min="2564" max="2564" width="9.140625" style="51" customWidth="1"/>
    <col min="2565" max="2565" width="12.7109375" style="51" customWidth="1"/>
    <col min="2566" max="2566" width="7" style="51" bestFit="1" customWidth="1"/>
    <col min="2567" max="2567" width="11.28515625" style="51" customWidth="1"/>
    <col min="2568" max="2568" width="12.7109375" style="51" customWidth="1"/>
    <col min="2569" max="2569" width="9.42578125" style="51" bestFit="1" customWidth="1"/>
    <col min="2570" max="2570" width="10.5703125" style="51" customWidth="1"/>
    <col min="2571" max="2571" width="12.7109375" style="51" customWidth="1"/>
    <col min="2572" max="2816" width="9.140625" style="51"/>
    <col min="2817" max="2817" width="25.85546875" style="51" customWidth="1"/>
    <col min="2818" max="2818" width="12.7109375" style="51" customWidth="1"/>
    <col min="2819" max="2819" width="6.85546875" style="51" bestFit="1" customWidth="1"/>
    <col min="2820" max="2820" width="9.140625" style="51" customWidth="1"/>
    <col min="2821" max="2821" width="12.7109375" style="51" customWidth="1"/>
    <col min="2822" max="2822" width="7" style="51" bestFit="1" customWidth="1"/>
    <col min="2823" max="2823" width="11.28515625" style="51" customWidth="1"/>
    <col min="2824" max="2824" width="12.7109375" style="51" customWidth="1"/>
    <col min="2825" max="2825" width="9.42578125" style="51" bestFit="1" customWidth="1"/>
    <col min="2826" max="2826" width="10.5703125" style="51" customWidth="1"/>
    <col min="2827" max="2827" width="12.7109375" style="51" customWidth="1"/>
    <col min="2828" max="3072" width="9.140625" style="51"/>
    <col min="3073" max="3073" width="25.85546875" style="51" customWidth="1"/>
    <col min="3074" max="3074" width="12.7109375" style="51" customWidth="1"/>
    <col min="3075" max="3075" width="6.85546875" style="51" bestFit="1" customWidth="1"/>
    <col min="3076" max="3076" width="9.140625" style="51" customWidth="1"/>
    <col min="3077" max="3077" width="12.7109375" style="51" customWidth="1"/>
    <col min="3078" max="3078" width="7" style="51" bestFit="1" customWidth="1"/>
    <col min="3079" max="3079" width="11.28515625" style="51" customWidth="1"/>
    <col min="3080" max="3080" width="12.7109375" style="51" customWidth="1"/>
    <col min="3081" max="3081" width="9.42578125" style="51" bestFit="1" customWidth="1"/>
    <col min="3082" max="3082" width="10.5703125" style="51" customWidth="1"/>
    <col min="3083" max="3083" width="12.7109375" style="51" customWidth="1"/>
    <col min="3084" max="3328" width="9.140625" style="51"/>
    <col min="3329" max="3329" width="25.85546875" style="51" customWidth="1"/>
    <col min="3330" max="3330" width="12.7109375" style="51" customWidth="1"/>
    <col min="3331" max="3331" width="6.85546875" style="51" bestFit="1" customWidth="1"/>
    <col min="3332" max="3332" width="9.140625" style="51" customWidth="1"/>
    <col min="3333" max="3333" width="12.7109375" style="51" customWidth="1"/>
    <col min="3334" max="3334" width="7" style="51" bestFit="1" customWidth="1"/>
    <col min="3335" max="3335" width="11.28515625" style="51" customWidth="1"/>
    <col min="3336" max="3336" width="12.7109375" style="51" customWidth="1"/>
    <col min="3337" max="3337" width="9.42578125" style="51" bestFit="1" customWidth="1"/>
    <col min="3338" max="3338" width="10.5703125" style="51" customWidth="1"/>
    <col min="3339" max="3339" width="12.7109375" style="51" customWidth="1"/>
    <col min="3340" max="3584" width="9.140625" style="51"/>
    <col min="3585" max="3585" width="25.85546875" style="51" customWidth="1"/>
    <col min="3586" max="3586" width="12.7109375" style="51" customWidth="1"/>
    <col min="3587" max="3587" width="6.85546875" style="51" bestFit="1" customWidth="1"/>
    <col min="3588" max="3588" width="9.140625" style="51" customWidth="1"/>
    <col min="3589" max="3589" width="12.7109375" style="51" customWidth="1"/>
    <col min="3590" max="3590" width="7" style="51" bestFit="1" customWidth="1"/>
    <col min="3591" max="3591" width="11.28515625" style="51" customWidth="1"/>
    <col min="3592" max="3592" width="12.7109375" style="51" customWidth="1"/>
    <col min="3593" max="3593" width="9.42578125" style="51" bestFit="1" customWidth="1"/>
    <col min="3594" max="3594" width="10.5703125" style="51" customWidth="1"/>
    <col min="3595" max="3595" width="12.7109375" style="51" customWidth="1"/>
    <col min="3596" max="3840" width="9.140625" style="51"/>
    <col min="3841" max="3841" width="25.85546875" style="51" customWidth="1"/>
    <col min="3842" max="3842" width="12.7109375" style="51" customWidth="1"/>
    <col min="3843" max="3843" width="6.85546875" style="51" bestFit="1" customWidth="1"/>
    <col min="3844" max="3844" width="9.140625" style="51" customWidth="1"/>
    <col min="3845" max="3845" width="12.7109375" style="51" customWidth="1"/>
    <col min="3846" max="3846" width="7" style="51" bestFit="1" customWidth="1"/>
    <col min="3847" max="3847" width="11.28515625" style="51" customWidth="1"/>
    <col min="3848" max="3848" width="12.7109375" style="51" customWidth="1"/>
    <col min="3849" max="3849" width="9.42578125" style="51" bestFit="1" customWidth="1"/>
    <col min="3850" max="3850" width="10.5703125" style="51" customWidth="1"/>
    <col min="3851" max="3851" width="12.7109375" style="51" customWidth="1"/>
    <col min="3852" max="4096" width="9.140625" style="51"/>
    <col min="4097" max="4097" width="25.85546875" style="51" customWidth="1"/>
    <col min="4098" max="4098" width="12.7109375" style="51" customWidth="1"/>
    <col min="4099" max="4099" width="6.85546875" style="51" bestFit="1" customWidth="1"/>
    <col min="4100" max="4100" width="9.140625" style="51" customWidth="1"/>
    <col min="4101" max="4101" width="12.7109375" style="51" customWidth="1"/>
    <col min="4102" max="4102" width="7" style="51" bestFit="1" customWidth="1"/>
    <col min="4103" max="4103" width="11.28515625" style="51" customWidth="1"/>
    <col min="4104" max="4104" width="12.7109375" style="51" customWidth="1"/>
    <col min="4105" max="4105" width="9.42578125" style="51" bestFit="1" customWidth="1"/>
    <col min="4106" max="4106" width="10.5703125" style="51" customWidth="1"/>
    <col min="4107" max="4107" width="12.7109375" style="51" customWidth="1"/>
    <col min="4108" max="4352" width="9.140625" style="51"/>
    <col min="4353" max="4353" width="25.85546875" style="51" customWidth="1"/>
    <col min="4354" max="4354" width="12.7109375" style="51" customWidth="1"/>
    <col min="4355" max="4355" width="6.85546875" style="51" bestFit="1" customWidth="1"/>
    <col min="4356" max="4356" width="9.140625" style="51" customWidth="1"/>
    <col min="4357" max="4357" width="12.7109375" style="51" customWidth="1"/>
    <col min="4358" max="4358" width="7" style="51" bestFit="1" customWidth="1"/>
    <col min="4359" max="4359" width="11.28515625" style="51" customWidth="1"/>
    <col min="4360" max="4360" width="12.7109375" style="51" customWidth="1"/>
    <col min="4361" max="4361" width="9.42578125" style="51" bestFit="1" customWidth="1"/>
    <col min="4362" max="4362" width="10.5703125" style="51" customWidth="1"/>
    <col min="4363" max="4363" width="12.7109375" style="51" customWidth="1"/>
    <col min="4364" max="4608" width="9.140625" style="51"/>
    <col min="4609" max="4609" width="25.85546875" style="51" customWidth="1"/>
    <col min="4610" max="4610" width="12.7109375" style="51" customWidth="1"/>
    <col min="4611" max="4611" width="6.85546875" style="51" bestFit="1" customWidth="1"/>
    <col min="4612" max="4612" width="9.140625" style="51" customWidth="1"/>
    <col min="4613" max="4613" width="12.7109375" style="51" customWidth="1"/>
    <col min="4614" max="4614" width="7" style="51" bestFit="1" customWidth="1"/>
    <col min="4615" max="4615" width="11.28515625" style="51" customWidth="1"/>
    <col min="4616" max="4616" width="12.7109375" style="51" customWidth="1"/>
    <col min="4617" max="4617" width="9.42578125" style="51" bestFit="1" customWidth="1"/>
    <col min="4618" max="4618" width="10.5703125" style="51" customWidth="1"/>
    <col min="4619" max="4619" width="12.7109375" style="51" customWidth="1"/>
    <col min="4620" max="4864" width="9.140625" style="51"/>
    <col min="4865" max="4865" width="25.85546875" style="51" customWidth="1"/>
    <col min="4866" max="4866" width="12.7109375" style="51" customWidth="1"/>
    <col min="4867" max="4867" width="6.85546875" style="51" bestFit="1" customWidth="1"/>
    <col min="4868" max="4868" width="9.140625" style="51" customWidth="1"/>
    <col min="4869" max="4869" width="12.7109375" style="51" customWidth="1"/>
    <col min="4870" max="4870" width="7" style="51" bestFit="1" customWidth="1"/>
    <col min="4871" max="4871" width="11.28515625" style="51" customWidth="1"/>
    <col min="4872" max="4872" width="12.7109375" style="51" customWidth="1"/>
    <col min="4873" max="4873" width="9.42578125" style="51" bestFit="1" customWidth="1"/>
    <col min="4874" max="4874" width="10.5703125" style="51" customWidth="1"/>
    <col min="4875" max="4875" width="12.7109375" style="51" customWidth="1"/>
    <col min="4876" max="5120" width="9.140625" style="51"/>
    <col min="5121" max="5121" width="25.85546875" style="51" customWidth="1"/>
    <col min="5122" max="5122" width="12.7109375" style="51" customWidth="1"/>
    <col min="5123" max="5123" width="6.85546875" style="51" bestFit="1" customWidth="1"/>
    <col min="5124" max="5124" width="9.140625" style="51" customWidth="1"/>
    <col min="5125" max="5125" width="12.7109375" style="51" customWidth="1"/>
    <col min="5126" max="5126" width="7" style="51" bestFit="1" customWidth="1"/>
    <col min="5127" max="5127" width="11.28515625" style="51" customWidth="1"/>
    <col min="5128" max="5128" width="12.7109375" style="51" customWidth="1"/>
    <col min="5129" max="5129" width="9.42578125" style="51" bestFit="1" customWidth="1"/>
    <col min="5130" max="5130" width="10.5703125" style="51" customWidth="1"/>
    <col min="5131" max="5131" width="12.7109375" style="51" customWidth="1"/>
    <col min="5132" max="5376" width="9.140625" style="51"/>
    <col min="5377" max="5377" width="25.85546875" style="51" customWidth="1"/>
    <col min="5378" max="5378" width="12.7109375" style="51" customWidth="1"/>
    <col min="5379" max="5379" width="6.85546875" style="51" bestFit="1" customWidth="1"/>
    <col min="5380" max="5380" width="9.140625" style="51" customWidth="1"/>
    <col min="5381" max="5381" width="12.7109375" style="51" customWidth="1"/>
    <col min="5382" max="5382" width="7" style="51" bestFit="1" customWidth="1"/>
    <col min="5383" max="5383" width="11.28515625" style="51" customWidth="1"/>
    <col min="5384" max="5384" width="12.7109375" style="51" customWidth="1"/>
    <col min="5385" max="5385" width="9.42578125" style="51" bestFit="1" customWidth="1"/>
    <col min="5386" max="5386" width="10.5703125" style="51" customWidth="1"/>
    <col min="5387" max="5387" width="12.7109375" style="51" customWidth="1"/>
    <col min="5388" max="5632" width="9.140625" style="51"/>
    <col min="5633" max="5633" width="25.85546875" style="51" customWidth="1"/>
    <col min="5634" max="5634" width="12.7109375" style="51" customWidth="1"/>
    <col min="5635" max="5635" width="6.85546875" style="51" bestFit="1" customWidth="1"/>
    <col min="5636" max="5636" width="9.140625" style="51" customWidth="1"/>
    <col min="5637" max="5637" width="12.7109375" style="51" customWidth="1"/>
    <col min="5638" max="5638" width="7" style="51" bestFit="1" customWidth="1"/>
    <col min="5639" max="5639" width="11.28515625" style="51" customWidth="1"/>
    <col min="5640" max="5640" width="12.7109375" style="51" customWidth="1"/>
    <col min="5641" max="5641" width="9.42578125" style="51" bestFit="1" customWidth="1"/>
    <col min="5642" max="5642" width="10.5703125" style="51" customWidth="1"/>
    <col min="5643" max="5643" width="12.7109375" style="51" customWidth="1"/>
    <col min="5644" max="5888" width="9.140625" style="51"/>
    <col min="5889" max="5889" width="25.85546875" style="51" customWidth="1"/>
    <col min="5890" max="5890" width="12.7109375" style="51" customWidth="1"/>
    <col min="5891" max="5891" width="6.85546875" style="51" bestFit="1" customWidth="1"/>
    <col min="5892" max="5892" width="9.140625" style="51" customWidth="1"/>
    <col min="5893" max="5893" width="12.7109375" style="51" customWidth="1"/>
    <col min="5894" max="5894" width="7" style="51" bestFit="1" customWidth="1"/>
    <col min="5895" max="5895" width="11.28515625" style="51" customWidth="1"/>
    <col min="5896" max="5896" width="12.7109375" style="51" customWidth="1"/>
    <col min="5897" max="5897" width="9.42578125" style="51" bestFit="1" customWidth="1"/>
    <col min="5898" max="5898" width="10.5703125" style="51" customWidth="1"/>
    <col min="5899" max="5899" width="12.7109375" style="51" customWidth="1"/>
    <col min="5900" max="6144" width="9.140625" style="51"/>
    <col min="6145" max="6145" width="25.85546875" style="51" customWidth="1"/>
    <col min="6146" max="6146" width="12.7109375" style="51" customWidth="1"/>
    <col min="6147" max="6147" width="6.85546875" style="51" bestFit="1" customWidth="1"/>
    <col min="6148" max="6148" width="9.140625" style="51" customWidth="1"/>
    <col min="6149" max="6149" width="12.7109375" style="51" customWidth="1"/>
    <col min="6150" max="6150" width="7" style="51" bestFit="1" customWidth="1"/>
    <col min="6151" max="6151" width="11.28515625" style="51" customWidth="1"/>
    <col min="6152" max="6152" width="12.7109375" style="51" customWidth="1"/>
    <col min="6153" max="6153" width="9.42578125" style="51" bestFit="1" customWidth="1"/>
    <col min="6154" max="6154" width="10.5703125" style="51" customWidth="1"/>
    <col min="6155" max="6155" width="12.7109375" style="51" customWidth="1"/>
    <col min="6156" max="6400" width="9.140625" style="51"/>
    <col min="6401" max="6401" width="25.85546875" style="51" customWidth="1"/>
    <col min="6402" max="6402" width="12.7109375" style="51" customWidth="1"/>
    <col min="6403" max="6403" width="6.85546875" style="51" bestFit="1" customWidth="1"/>
    <col min="6404" max="6404" width="9.140625" style="51" customWidth="1"/>
    <col min="6405" max="6405" width="12.7109375" style="51" customWidth="1"/>
    <col min="6406" max="6406" width="7" style="51" bestFit="1" customWidth="1"/>
    <col min="6407" max="6407" width="11.28515625" style="51" customWidth="1"/>
    <col min="6408" max="6408" width="12.7109375" style="51" customWidth="1"/>
    <col min="6409" max="6409" width="9.42578125" style="51" bestFit="1" customWidth="1"/>
    <col min="6410" max="6410" width="10.5703125" style="51" customWidth="1"/>
    <col min="6411" max="6411" width="12.7109375" style="51" customWidth="1"/>
    <col min="6412" max="6656" width="9.140625" style="51"/>
    <col min="6657" max="6657" width="25.85546875" style="51" customWidth="1"/>
    <col min="6658" max="6658" width="12.7109375" style="51" customWidth="1"/>
    <col min="6659" max="6659" width="6.85546875" style="51" bestFit="1" customWidth="1"/>
    <col min="6660" max="6660" width="9.140625" style="51" customWidth="1"/>
    <col min="6661" max="6661" width="12.7109375" style="51" customWidth="1"/>
    <col min="6662" max="6662" width="7" style="51" bestFit="1" customWidth="1"/>
    <col min="6663" max="6663" width="11.28515625" style="51" customWidth="1"/>
    <col min="6664" max="6664" width="12.7109375" style="51" customWidth="1"/>
    <col min="6665" max="6665" width="9.42578125" style="51" bestFit="1" customWidth="1"/>
    <col min="6666" max="6666" width="10.5703125" style="51" customWidth="1"/>
    <col min="6667" max="6667" width="12.7109375" style="51" customWidth="1"/>
    <col min="6668" max="6912" width="9.140625" style="51"/>
    <col min="6913" max="6913" width="25.85546875" style="51" customWidth="1"/>
    <col min="6914" max="6914" width="12.7109375" style="51" customWidth="1"/>
    <col min="6915" max="6915" width="6.85546875" style="51" bestFit="1" customWidth="1"/>
    <col min="6916" max="6916" width="9.140625" style="51" customWidth="1"/>
    <col min="6917" max="6917" width="12.7109375" style="51" customWidth="1"/>
    <col min="6918" max="6918" width="7" style="51" bestFit="1" customWidth="1"/>
    <col min="6919" max="6919" width="11.28515625" style="51" customWidth="1"/>
    <col min="6920" max="6920" width="12.7109375" style="51" customWidth="1"/>
    <col min="6921" max="6921" width="9.42578125" style="51" bestFit="1" customWidth="1"/>
    <col min="6922" max="6922" width="10.5703125" style="51" customWidth="1"/>
    <col min="6923" max="6923" width="12.7109375" style="51" customWidth="1"/>
    <col min="6924" max="7168" width="9.140625" style="51"/>
    <col min="7169" max="7169" width="25.85546875" style="51" customWidth="1"/>
    <col min="7170" max="7170" width="12.7109375" style="51" customWidth="1"/>
    <col min="7171" max="7171" width="6.85546875" style="51" bestFit="1" customWidth="1"/>
    <col min="7172" max="7172" width="9.140625" style="51" customWidth="1"/>
    <col min="7173" max="7173" width="12.7109375" style="51" customWidth="1"/>
    <col min="7174" max="7174" width="7" style="51" bestFit="1" customWidth="1"/>
    <col min="7175" max="7175" width="11.28515625" style="51" customWidth="1"/>
    <col min="7176" max="7176" width="12.7109375" style="51" customWidth="1"/>
    <col min="7177" max="7177" width="9.42578125" style="51" bestFit="1" customWidth="1"/>
    <col min="7178" max="7178" width="10.5703125" style="51" customWidth="1"/>
    <col min="7179" max="7179" width="12.7109375" style="51" customWidth="1"/>
    <col min="7180" max="7424" width="9.140625" style="51"/>
    <col min="7425" max="7425" width="25.85546875" style="51" customWidth="1"/>
    <col min="7426" max="7426" width="12.7109375" style="51" customWidth="1"/>
    <col min="7427" max="7427" width="6.85546875" style="51" bestFit="1" customWidth="1"/>
    <col min="7428" max="7428" width="9.140625" style="51" customWidth="1"/>
    <col min="7429" max="7429" width="12.7109375" style="51" customWidth="1"/>
    <col min="7430" max="7430" width="7" style="51" bestFit="1" customWidth="1"/>
    <col min="7431" max="7431" width="11.28515625" style="51" customWidth="1"/>
    <col min="7432" max="7432" width="12.7109375" style="51" customWidth="1"/>
    <col min="7433" max="7433" width="9.42578125" style="51" bestFit="1" customWidth="1"/>
    <col min="7434" max="7434" width="10.5703125" style="51" customWidth="1"/>
    <col min="7435" max="7435" width="12.7109375" style="51" customWidth="1"/>
    <col min="7436" max="7680" width="9.140625" style="51"/>
    <col min="7681" max="7681" width="25.85546875" style="51" customWidth="1"/>
    <col min="7682" max="7682" width="12.7109375" style="51" customWidth="1"/>
    <col min="7683" max="7683" width="6.85546875" style="51" bestFit="1" customWidth="1"/>
    <col min="7684" max="7684" width="9.140625" style="51" customWidth="1"/>
    <col min="7685" max="7685" width="12.7109375" style="51" customWidth="1"/>
    <col min="7686" max="7686" width="7" style="51" bestFit="1" customWidth="1"/>
    <col min="7687" max="7687" width="11.28515625" style="51" customWidth="1"/>
    <col min="7688" max="7688" width="12.7109375" style="51" customWidth="1"/>
    <col min="7689" max="7689" width="9.42578125" style="51" bestFit="1" customWidth="1"/>
    <col min="7690" max="7690" width="10.5703125" style="51" customWidth="1"/>
    <col min="7691" max="7691" width="12.7109375" style="51" customWidth="1"/>
    <col min="7692" max="7936" width="9.140625" style="51"/>
    <col min="7937" max="7937" width="25.85546875" style="51" customWidth="1"/>
    <col min="7938" max="7938" width="12.7109375" style="51" customWidth="1"/>
    <col min="7939" max="7939" width="6.85546875" style="51" bestFit="1" customWidth="1"/>
    <col min="7940" max="7940" width="9.140625" style="51" customWidth="1"/>
    <col min="7941" max="7941" width="12.7109375" style="51" customWidth="1"/>
    <col min="7942" max="7942" width="7" style="51" bestFit="1" customWidth="1"/>
    <col min="7943" max="7943" width="11.28515625" style="51" customWidth="1"/>
    <col min="7944" max="7944" width="12.7109375" style="51" customWidth="1"/>
    <col min="7945" max="7945" width="9.42578125" style="51" bestFit="1" customWidth="1"/>
    <col min="7946" max="7946" width="10.5703125" style="51" customWidth="1"/>
    <col min="7947" max="7947" width="12.7109375" style="51" customWidth="1"/>
    <col min="7948" max="8192" width="9.140625" style="51"/>
    <col min="8193" max="8193" width="25.85546875" style="51" customWidth="1"/>
    <col min="8194" max="8194" width="12.7109375" style="51" customWidth="1"/>
    <col min="8195" max="8195" width="6.85546875" style="51" bestFit="1" customWidth="1"/>
    <col min="8196" max="8196" width="9.140625" style="51" customWidth="1"/>
    <col min="8197" max="8197" width="12.7109375" style="51" customWidth="1"/>
    <col min="8198" max="8198" width="7" style="51" bestFit="1" customWidth="1"/>
    <col min="8199" max="8199" width="11.28515625" style="51" customWidth="1"/>
    <col min="8200" max="8200" width="12.7109375" style="51" customWidth="1"/>
    <col min="8201" max="8201" width="9.42578125" style="51" bestFit="1" customWidth="1"/>
    <col min="8202" max="8202" width="10.5703125" style="51" customWidth="1"/>
    <col min="8203" max="8203" width="12.7109375" style="51" customWidth="1"/>
    <col min="8204" max="8448" width="9.140625" style="51"/>
    <col min="8449" max="8449" width="25.85546875" style="51" customWidth="1"/>
    <col min="8450" max="8450" width="12.7109375" style="51" customWidth="1"/>
    <col min="8451" max="8451" width="6.85546875" style="51" bestFit="1" customWidth="1"/>
    <col min="8452" max="8452" width="9.140625" style="51" customWidth="1"/>
    <col min="8453" max="8453" width="12.7109375" style="51" customWidth="1"/>
    <col min="8454" max="8454" width="7" style="51" bestFit="1" customWidth="1"/>
    <col min="8455" max="8455" width="11.28515625" style="51" customWidth="1"/>
    <col min="8456" max="8456" width="12.7109375" style="51" customWidth="1"/>
    <col min="8457" max="8457" width="9.42578125" style="51" bestFit="1" customWidth="1"/>
    <col min="8458" max="8458" width="10.5703125" style="51" customWidth="1"/>
    <col min="8459" max="8459" width="12.7109375" style="51" customWidth="1"/>
    <col min="8460" max="8704" width="9.140625" style="51"/>
    <col min="8705" max="8705" width="25.85546875" style="51" customWidth="1"/>
    <col min="8706" max="8706" width="12.7109375" style="51" customWidth="1"/>
    <col min="8707" max="8707" width="6.85546875" style="51" bestFit="1" customWidth="1"/>
    <col min="8708" max="8708" width="9.140625" style="51" customWidth="1"/>
    <col min="8709" max="8709" width="12.7109375" style="51" customWidth="1"/>
    <col min="8710" max="8710" width="7" style="51" bestFit="1" customWidth="1"/>
    <col min="8711" max="8711" width="11.28515625" style="51" customWidth="1"/>
    <col min="8712" max="8712" width="12.7109375" style="51" customWidth="1"/>
    <col min="8713" max="8713" width="9.42578125" style="51" bestFit="1" customWidth="1"/>
    <col min="8714" max="8714" width="10.5703125" style="51" customWidth="1"/>
    <col min="8715" max="8715" width="12.7109375" style="51" customWidth="1"/>
    <col min="8716" max="8960" width="9.140625" style="51"/>
    <col min="8961" max="8961" width="25.85546875" style="51" customWidth="1"/>
    <col min="8962" max="8962" width="12.7109375" style="51" customWidth="1"/>
    <col min="8963" max="8963" width="6.85546875" style="51" bestFit="1" customWidth="1"/>
    <col min="8964" max="8964" width="9.140625" style="51" customWidth="1"/>
    <col min="8965" max="8965" width="12.7109375" style="51" customWidth="1"/>
    <col min="8966" max="8966" width="7" style="51" bestFit="1" customWidth="1"/>
    <col min="8967" max="8967" width="11.28515625" style="51" customWidth="1"/>
    <col min="8968" max="8968" width="12.7109375" style="51" customWidth="1"/>
    <col min="8969" max="8969" width="9.42578125" style="51" bestFit="1" customWidth="1"/>
    <col min="8970" max="8970" width="10.5703125" style="51" customWidth="1"/>
    <col min="8971" max="8971" width="12.7109375" style="51" customWidth="1"/>
    <col min="8972" max="9216" width="9.140625" style="51"/>
    <col min="9217" max="9217" width="25.85546875" style="51" customWidth="1"/>
    <col min="9218" max="9218" width="12.7109375" style="51" customWidth="1"/>
    <col min="9219" max="9219" width="6.85546875" style="51" bestFit="1" customWidth="1"/>
    <col min="9220" max="9220" width="9.140625" style="51" customWidth="1"/>
    <col min="9221" max="9221" width="12.7109375" style="51" customWidth="1"/>
    <col min="9222" max="9222" width="7" style="51" bestFit="1" customWidth="1"/>
    <col min="9223" max="9223" width="11.28515625" style="51" customWidth="1"/>
    <col min="9224" max="9224" width="12.7109375" style="51" customWidth="1"/>
    <col min="9225" max="9225" width="9.42578125" style="51" bestFit="1" customWidth="1"/>
    <col min="9226" max="9226" width="10.5703125" style="51" customWidth="1"/>
    <col min="9227" max="9227" width="12.7109375" style="51" customWidth="1"/>
    <col min="9228" max="9472" width="9.140625" style="51"/>
    <col min="9473" max="9473" width="25.85546875" style="51" customWidth="1"/>
    <col min="9474" max="9474" width="12.7109375" style="51" customWidth="1"/>
    <col min="9475" max="9475" width="6.85546875" style="51" bestFit="1" customWidth="1"/>
    <col min="9476" max="9476" width="9.140625" style="51" customWidth="1"/>
    <col min="9477" max="9477" width="12.7109375" style="51" customWidth="1"/>
    <col min="9478" max="9478" width="7" style="51" bestFit="1" customWidth="1"/>
    <col min="9479" max="9479" width="11.28515625" style="51" customWidth="1"/>
    <col min="9480" max="9480" width="12.7109375" style="51" customWidth="1"/>
    <col min="9481" max="9481" width="9.42578125" style="51" bestFit="1" customWidth="1"/>
    <col min="9482" max="9482" width="10.5703125" style="51" customWidth="1"/>
    <col min="9483" max="9483" width="12.7109375" style="51" customWidth="1"/>
    <col min="9484" max="9728" width="9.140625" style="51"/>
    <col min="9729" max="9729" width="25.85546875" style="51" customWidth="1"/>
    <col min="9730" max="9730" width="12.7109375" style="51" customWidth="1"/>
    <col min="9731" max="9731" width="6.85546875" style="51" bestFit="1" customWidth="1"/>
    <col min="9732" max="9732" width="9.140625" style="51" customWidth="1"/>
    <col min="9733" max="9733" width="12.7109375" style="51" customWidth="1"/>
    <col min="9734" max="9734" width="7" style="51" bestFit="1" customWidth="1"/>
    <col min="9735" max="9735" width="11.28515625" style="51" customWidth="1"/>
    <col min="9736" max="9736" width="12.7109375" style="51" customWidth="1"/>
    <col min="9737" max="9737" width="9.42578125" style="51" bestFit="1" customWidth="1"/>
    <col min="9738" max="9738" width="10.5703125" style="51" customWidth="1"/>
    <col min="9739" max="9739" width="12.7109375" style="51" customWidth="1"/>
    <col min="9740" max="9984" width="9.140625" style="51"/>
    <col min="9985" max="9985" width="25.85546875" style="51" customWidth="1"/>
    <col min="9986" max="9986" width="12.7109375" style="51" customWidth="1"/>
    <col min="9987" max="9987" width="6.85546875" style="51" bestFit="1" customWidth="1"/>
    <col min="9988" max="9988" width="9.140625" style="51" customWidth="1"/>
    <col min="9989" max="9989" width="12.7109375" style="51" customWidth="1"/>
    <col min="9990" max="9990" width="7" style="51" bestFit="1" customWidth="1"/>
    <col min="9991" max="9991" width="11.28515625" style="51" customWidth="1"/>
    <col min="9992" max="9992" width="12.7109375" style="51" customWidth="1"/>
    <col min="9993" max="9993" width="9.42578125" style="51" bestFit="1" customWidth="1"/>
    <col min="9994" max="9994" width="10.5703125" style="51" customWidth="1"/>
    <col min="9995" max="9995" width="12.7109375" style="51" customWidth="1"/>
    <col min="9996" max="10240" width="9.140625" style="51"/>
    <col min="10241" max="10241" width="25.85546875" style="51" customWidth="1"/>
    <col min="10242" max="10242" width="12.7109375" style="51" customWidth="1"/>
    <col min="10243" max="10243" width="6.85546875" style="51" bestFit="1" customWidth="1"/>
    <col min="10244" max="10244" width="9.140625" style="51" customWidth="1"/>
    <col min="10245" max="10245" width="12.7109375" style="51" customWidth="1"/>
    <col min="10246" max="10246" width="7" style="51" bestFit="1" customWidth="1"/>
    <col min="10247" max="10247" width="11.28515625" style="51" customWidth="1"/>
    <col min="10248" max="10248" width="12.7109375" style="51" customWidth="1"/>
    <col min="10249" max="10249" width="9.42578125" style="51" bestFit="1" customWidth="1"/>
    <col min="10250" max="10250" width="10.5703125" style="51" customWidth="1"/>
    <col min="10251" max="10251" width="12.7109375" style="51" customWidth="1"/>
    <col min="10252" max="10496" width="9.140625" style="51"/>
    <col min="10497" max="10497" width="25.85546875" style="51" customWidth="1"/>
    <col min="10498" max="10498" width="12.7109375" style="51" customWidth="1"/>
    <col min="10499" max="10499" width="6.85546875" style="51" bestFit="1" customWidth="1"/>
    <col min="10500" max="10500" width="9.140625" style="51" customWidth="1"/>
    <col min="10501" max="10501" width="12.7109375" style="51" customWidth="1"/>
    <col min="10502" max="10502" width="7" style="51" bestFit="1" customWidth="1"/>
    <col min="10503" max="10503" width="11.28515625" style="51" customWidth="1"/>
    <col min="10504" max="10504" width="12.7109375" style="51" customWidth="1"/>
    <col min="10505" max="10505" width="9.42578125" style="51" bestFit="1" customWidth="1"/>
    <col min="10506" max="10506" width="10.5703125" style="51" customWidth="1"/>
    <col min="10507" max="10507" width="12.7109375" style="51" customWidth="1"/>
    <col min="10508" max="10752" width="9.140625" style="51"/>
    <col min="10753" max="10753" width="25.85546875" style="51" customWidth="1"/>
    <col min="10754" max="10754" width="12.7109375" style="51" customWidth="1"/>
    <col min="10755" max="10755" width="6.85546875" style="51" bestFit="1" customWidth="1"/>
    <col min="10756" max="10756" width="9.140625" style="51" customWidth="1"/>
    <col min="10757" max="10757" width="12.7109375" style="51" customWidth="1"/>
    <col min="10758" max="10758" width="7" style="51" bestFit="1" customWidth="1"/>
    <col min="10759" max="10759" width="11.28515625" style="51" customWidth="1"/>
    <col min="10760" max="10760" width="12.7109375" style="51" customWidth="1"/>
    <col min="10761" max="10761" width="9.42578125" style="51" bestFit="1" customWidth="1"/>
    <col min="10762" max="10762" width="10.5703125" style="51" customWidth="1"/>
    <col min="10763" max="10763" width="12.7109375" style="51" customWidth="1"/>
    <col min="10764" max="11008" width="9.140625" style="51"/>
    <col min="11009" max="11009" width="25.85546875" style="51" customWidth="1"/>
    <col min="11010" max="11010" width="12.7109375" style="51" customWidth="1"/>
    <col min="11011" max="11011" width="6.85546875" style="51" bestFit="1" customWidth="1"/>
    <col min="11012" max="11012" width="9.140625" style="51" customWidth="1"/>
    <col min="11013" max="11013" width="12.7109375" style="51" customWidth="1"/>
    <col min="11014" max="11014" width="7" style="51" bestFit="1" customWidth="1"/>
    <col min="11015" max="11015" width="11.28515625" style="51" customWidth="1"/>
    <col min="11016" max="11016" width="12.7109375" style="51" customWidth="1"/>
    <col min="11017" max="11017" width="9.42578125" style="51" bestFit="1" customWidth="1"/>
    <col min="11018" max="11018" width="10.5703125" style="51" customWidth="1"/>
    <col min="11019" max="11019" width="12.7109375" style="51" customWidth="1"/>
    <col min="11020" max="11264" width="9.140625" style="51"/>
    <col min="11265" max="11265" width="25.85546875" style="51" customWidth="1"/>
    <col min="11266" max="11266" width="12.7109375" style="51" customWidth="1"/>
    <col min="11267" max="11267" width="6.85546875" style="51" bestFit="1" customWidth="1"/>
    <col min="11268" max="11268" width="9.140625" style="51" customWidth="1"/>
    <col min="11269" max="11269" width="12.7109375" style="51" customWidth="1"/>
    <col min="11270" max="11270" width="7" style="51" bestFit="1" customWidth="1"/>
    <col min="11271" max="11271" width="11.28515625" style="51" customWidth="1"/>
    <col min="11272" max="11272" width="12.7109375" style="51" customWidth="1"/>
    <col min="11273" max="11273" width="9.42578125" style="51" bestFit="1" customWidth="1"/>
    <col min="11274" max="11274" width="10.5703125" style="51" customWidth="1"/>
    <col min="11275" max="11275" width="12.7109375" style="51" customWidth="1"/>
    <col min="11276" max="11520" width="9.140625" style="51"/>
    <col min="11521" max="11521" width="25.85546875" style="51" customWidth="1"/>
    <col min="11522" max="11522" width="12.7109375" style="51" customWidth="1"/>
    <col min="11523" max="11523" width="6.85546875" style="51" bestFit="1" customWidth="1"/>
    <col min="11524" max="11524" width="9.140625" style="51" customWidth="1"/>
    <col min="11525" max="11525" width="12.7109375" style="51" customWidth="1"/>
    <col min="11526" max="11526" width="7" style="51" bestFit="1" customWidth="1"/>
    <col min="11527" max="11527" width="11.28515625" style="51" customWidth="1"/>
    <col min="11528" max="11528" width="12.7109375" style="51" customWidth="1"/>
    <col min="11529" max="11529" width="9.42578125" style="51" bestFit="1" customWidth="1"/>
    <col min="11530" max="11530" width="10.5703125" style="51" customWidth="1"/>
    <col min="11531" max="11531" width="12.7109375" style="51" customWidth="1"/>
    <col min="11532" max="11776" width="9.140625" style="51"/>
    <col min="11777" max="11777" width="25.85546875" style="51" customWidth="1"/>
    <col min="11778" max="11778" width="12.7109375" style="51" customWidth="1"/>
    <col min="11779" max="11779" width="6.85546875" style="51" bestFit="1" customWidth="1"/>
    <col min="11780" max="11780" width="9.140625" style="51" customWidth="1"/>
    <col min="11781" max="11781" width="12.7109375" style="51" customWidth="1"/>
    <col min="11782" max="11782" width="7" style="51" bestFit="1" customWidth="1"/>
    <col min="11783" max="11783" width="11.28515625" style="51" customWidth="1"/>
    <col min="11784" max="11784" width="12.7109375" style="51" customWidth="1"/>
    <col min="11785" max="11785" width="9.42578125" style="51" bestFit="1" customWidth="1"/>
    <col min="11786" max="11786" width="10.5703125" style="51" customWidth="1"/>
    <col min="11787" max="11787" width="12.7109375" style="51" customWidth="1"/>
    <col min="11788" max="12032" width="9.140625" style="51"/>
    <col min="12033" max="12033" width="25.85546875" style="51" customWidth="1"/>
    <col min="12034" max="12034" width="12.7109375" style="51" customWidth="1"/>
    <col min="12035" max="12035" width="6.85546875" style="51" bestFit="1" customWidth="1"/>
    <col min="12036" max="12036" width="9.140625" style="51" customWidth="1"/>
    <col min="12037" max="12037" width="12.7109375" style="51" customWidth="1"/>
    <col min="12038" max="12038" width="7" style="51" bestFit="1" customWidth="1"/>
    <col min="12039" max="12039" width="11.28515625" style="51" customWidth="1"/>
    <col min="12040" max="12040" width="12.7109375" style="51" customWidth="1"/>
    <col min="12041" max="12041" width="9.42578125" style="51" bestFit="1" customWidth="1"/>
    <col min="12042" max="12042" width="10.5703125" style="51" customWidth="1"/>
    <col min="12043" max="12043" width="12.7109375" style="51" customWidth="1"/>
    <col min="12044" max="12288" width="9.140625" style="51"/>
    <col min="12289" max="12289" width="25.85546875" style="51" customWidth="1"/>
    <col min="12290" max="12290" width="12.7109375" style="51" customWidth="1"/>
    <col min="12291" max="12291" width="6.85546875" style="51" bestFit="1" customWidth="1"/>
    <col min="12292" max="12292" width="9.140625" style="51" customWidth="1"/>
    <col min="12293" max="12293" width="12.7109375" style="51" customWidth="1"/>
    <col min="12294" max="12294" width="7" style="51" bestFit="1" customWidth="1"/>
    <col min="12295" max="12295" width="11.28515625" style="51" customWidth="1"/>
    <col min="12296" max="12296" width="12.7109375" style="51" customWidth="1"/>
    <col min="12297" max="12297" width="9.42578125" style="51" bestFit="1" customWidth="1"/>
    <col min="12298" max="12298" width="10.5703125" style="51" customWidth="1"/>
    <col min="12299" max="12299" width="12.7109375" style="51" customWidth="1"/>
    <col min="12300" max="12544" width="9.140625" style="51"/>
    <col min="12545" max="12545" width="25.85546875" style="51" customWidth="1"/>
    <col min="12546" max="12546" width="12.7109375" style="51" customWidth="1"/>
    <col min="12547" max="12547" width="6.85546875" style="51" bestFit="1" customWidth="1"/>
    <col min="12548" max="12548" width="9.140625" style="51" customWidth="1"/>
    <col min="12549" max="12549" width="12.7109375" style="51" customWidth="1"/>
    <col min="12550" max="12550" width="7" style="51" bestFit="1" customWidth="1"/>
    <col min="12551" max="12551" width="11.28515625" style="51" customWidth="1"/>
    <col min="12552" max="12552" width="12.7109375" style="51" customWidth="1"/>
    <col min="12553" max="12553" width="9.42578125" style="51" bestFit="1" customWidth="1"/>
    <col min="12554" max="12554" width="10.5703125" style="51" customWidth="1"/>
    <col min="12555" max="12555" width="12.7109375" style="51" customWidth="1"/>
    <col min="12556" max="12800" width="9.140625" style="51"/>
    <col min="12801" max="12801" width="25.85546875" style="51" customWidth="1"/>
    <col min="12802" max="12802" width="12.7109375" style="51" customWidth="1"/>
    <col min="12803" max="12803" width="6.85546875" style="51" bestFit="1" customWidth="1"/>
    <col min="12804" max="12804" width="9.140625" style="51" customWidth="1"/>
    <col min="12805" max="12805" width="12.7109375" style="51" customWidth="1"/>
    <col min="12806" max="12806" width="7" style="51" bestFit="1" customWidth="1"/>
    <col min="12807" max="12807" width="11.28515625" style="51" customWidth="1"/>
    <col min="12808" max="12808" width="12.7109375" style="51" customWidth="1"/>
    <col min="12809" max="12809" width="9.42578125" style="51" bestFit="1" customWidth="1"/>
    <col min="12810" max="12810" width="10.5703125" style="51" customWidth="1"/>
    <col min="12811" max="12811" width="12.7109375" style="51" customWidth="1"/>
    <col min="12812" max="13056" width="9.140625" style="51"/>
    <col min="13057" max="13057" width="25.85546875" style="51" customWidth="1"/>
    <col min="13058" max="13058" width="12.7109375" style="51" customWidth="1"/>
    <col min="13059" max="13059" width="6.85546875" style="51" bestFit="1" customWidth="1"/>
    <col min="13060" max="13060" width="9.140625" style="51" customWidth="1"/>
    <col min="13061" max="13061" width="12.7109375" style="51" customWidth="1"/>
    <col min="13062" max="13062" width="7" style="51" bestFit="1" customWidth="1"/>
    <col min="13063" max="13063" width="11.28515625" style="51" customWidth="1"/>
    <col min="13064" max="13064" width="12.7109375" style="51" customWidth="1"/>
    <col min="13065" max="13065" width="9.42578125" style="51" bestFit="1" customWidth="1"/>
    <col min="13066" max="13066" width="10.5703125" style="51" customWidth="1"/>
    <col min="13067" max="13067" width="12.7109375" style="51" customWidth="1"/>
    <col min="13068" max="13312" width="9.140625" style="51"/>
    <col min="13313" max="13313" width="25.85546875" style="51" customWidth="1"/>
    <col min="13314" max="13314" width="12.7109375" style="51" customWidth="1"/>
    <col min="13315" max="13315" width="6.85546875" style="51" bestFit="1" customWidth="1"/>
    <col min="13316" max="13316" width="9.140625" style="51" customWidth="1"/>
    <col min="13317" max="13317" width="12.7109375" style="51" customWidth="1"/>
    <col min="13318" max="13318" width="7" style="51" bestFit="1" customWidth="1"/>
    <col min="13319" max="13319" width="11.28515625" style="51" customWidth="1"/>
    <col min="13320" max="13320" width="12.7109375" style="51" customWidth="1"/>
    <col min="13321" max="13321" width="9.42578125" style="51" bestFit="1" customWidth="1"/>
    <col min="13322" max="13322" width="10.5703125" style="51" customWidth="1"/>
    <col min="13323" max="13323" width="12.7109375" style="51" customWidth="1"/>
    <col min="13324" max="13568" width="9.140625" style="51"/>
    <col min="13569" max="13569" width="25.85546875" style="51" customWidth="1"/>
    <col min="13570" max="13570" width="12.7109375" style="51" customWidth="1"/>
    <col min="13571" max="13571" width="6.85546875" style="51" bestFit="1" customWidth="1"/>
    <col min="13572" max="13572" width="9.140625" style="51" customWidth="1"/>
    <col min="13573" max="13573" width="12.7109375" style="51" customWidth="1"/>
    <col min="13574" max="13574" width="7" style="51" bestFit="1" customWidth="1"/>
    <col min="13575" max="13575" width="11.28515625" style="51" customWidth="1"/>
    <col min="13576" max="13576" width="12.7109375" style="51" customWidth="1"/>
    <col min="13577" max="13577" width="9.42578125" style="51" bestFit="1" customWidth="1"/>
    <col min="13578" max="13578" width="10.5703125" style="51" customWidth="1"/>
    <col min="13579" max="13579" width="12.7109375" style="51" customWidth="1"/>
    <col min="13580" max="13824" width="9.140625" style="51"/>
    <col min="13825" max="13825" width="25.85546875" style="51" customWidth="1"/>
    <col min="13826" max="13826" width="12.7109375" style="51" customWidth="1"/>
    <col min="13827" max="13827" width="6.85546875" style="51" bestFit="1" customWidth="1"/>
    <col min="13828" max="13828" width="9.140625" style="51" customWidth="1"/>
    <col min="13829" max="13829" width="12.7109375" style="51" customWidth="1"/>
    <col min="13830" max="13830" width="7" style="51" bestFit="1" customWidth="1"/>
    <col min="13831" max="13831" width="11.28515625" style="51" customWidth="1"/>
    <col min="13832" max="13832" width="12.7109375" style="51" customWidth="1"/>
    <col min="13833" max="13833" width="9.42578125" style="51" bestFit="1" customWidth="1"/>
    <col min="13834" max="13834" width="10.5703125" style="51" customWidth="1"/>
    <col min="13835" max="13835" width="12.7109375" style="51" customWidth="1"/>
    <col min="13836" max="14080" width="9.140625" style="51"/>
    <col min="14081" max="14081" width="25.85546875" style="51" customWidth="1"/>
    <col min="14082" max="14082" width="12.7109375" style="51" customWidth="1"/>
    <col min="14083" max="14083" width="6.85546875" style="51" bestFit="1" customWidth="1"/>
    <col min="14084" max="14084" width="9.140625" style="51" customWidth="1"/>
    <col min="14085" max="14085" width="12.7109375" style="51" customWidth="1"/>
    <col min="14086" max="14086" width="7" style="51" bestFit="1" customWidth="1"/>
    <col min="14087" max="14087" width="11.28515625" style="51" customWidth="1"/>
    <col min="14088" max="14088" width="12.7109375" style="51" customWidth="1"/>
    <col min="14089" max="14089" width="9.42578125" style="51" bestFit="1" customWidth="1"/>
    <col min="14090" max="14090" width="10.5703125" style="51" customWidth="1"/>
    <col min="14091" max="14091" width="12.7109375" style="51" customWidth="1"/>
    <col min="14092" max="14336" width="9.140625" style="51"/>
    <col min="14337" max="14337" width="25.85546875" style="51" customWidth="1"/>
    <col min="14338" max="14338" width="12.7109375" style="51" customWidth="1"/>
    <col min="14339" max="14339" width="6.85546875" style="51" bestFit="1" customWidth="1"/>
    <col min="14340" max="14340" width="9.140625" style="51" customWidth="1"/>
    <col min="14341" max="14341" width="12.7109375" style="51" customWidth="1"/>
    <col min="14342" max="14342" width="7" style="51" bestFit="1" customWidth="1"/>
    <col min="14343" max="14343" width="11.28515625" style="51" customWidth="1"/>
    <col min="14344" max="14344" width="12.7109375" style="51" customWidth="1"/>
    <col min="14345" max="14345" width="9.42578125" style="51" bestFit="1" customWidth="1"/>
    <col min="14346" max="14346" width="10.5703125" style="51" customWidth="1"/>
    <col min="14347" max="14347" width="12.7109375" style="51" customWidth="1"/>
    <col min="14348" max="14592" width="9.140625" style="51"/>
    <col min="14593" max="14593" width="25.85546875" style="51" customWidth="1"/>
    <col min="14594" max="14594" width="12.7109375" style="51" customWidth="1"/>
    <col min="14595" max="14595" width="6.85546875" style="51" bestFit="1" customWidth="1"/>
    <col min="14596" max="14596" width="9.140625" style="51" customWidth="1"/>
    <col min="14597" max="14597" width="12.7109375" style="51" customWidth="1"/>
    <col min="14598" max="14598" width="7" style="51" bestFit="1" customWidth="1"/>
    <col min="14599" max="14599" width="11.28515625" style="51" customWidth="1"/>
    <col min="14600" max="14600" width="12.7109375" style="51" customWidth="1"/>
    <col min="14601" max="14601" width="9.42578125" style="51" bestFit="1" customWidth="1"/>
    <col min="14602" max="14602" width="10.5703125" style="51" customWidth="1"/>
    <col min="14603" max="14603" width="12.7109375" style="51" customWidth="1"/>
    <col min="14604" max="14848" width="9.140625" style="51"/>
    <col min="14849" max="14849" width="25.85546875" style="51" customWidth="1"/>
    <col min="14850" max="14850" width="12.7109375" style="51" customWidth="1"/>
    <col min="14851" max="14851" width="6.85546875" style="51" bestFit="1" customWidth="1"/>
    <col min="14852" max="14852" width="9.140625" style="51" customWidth="1"/>
    <col min="14853" max="14853" width="12.7109375" style="51" customWidth="1"/>
    <col min="14854" max="14854" width="7" style="51" bestFit="1" customWidth="1"/>
    <col min="14855" max="14855" width="11.28515625" style="51" customWidth="1"/>
    <col min="14856" max="14856" width="12.7109375" style="51" customWidth="1"/>
    <col min="14857" max="14857" width="9.42578125" style="51" bestFit="1" customWidth="1"/>
    <col min="14858" max="14858" width="10.5703125" style="51" customWidth="1"/>
    <col min="14859" max="14859" width="12.7109375" style="51" customWidth="1"/>
    <col min="14860" max="15104" width="9.140625" style="51"/>
    <col min="15105" max="15105" width="25.85546875" style="51" customWidth="1"/>
    <col min="15106" max="15106" width="12.7109375" style="51" customWidth="1"/>
    <col min="15107" max="15107" width="6.85546875" style="51" bestFit="1" customWidth="1"/>
    <col min="15108" max="15108" width="9.140625" style="51" customWidth="1"/>
    <col min="15109" max="15109" width="12.7109375" style="51" customWidth="1"/>
    <col min="15110" max="15110" width="7" style="51" bestFit="1" customWidth="1"/>
    <col min="15111" max="15111" width="11.28515625" style="51" customWidth="1"/>
    <col min="15112" max="15112" width="12.7109375" style="51" customWidth="1"/>
    <col min="15113" max="15113" width="9.42578125" style="51" bestFit="1" customWidth="1"/>
    <col min="15114" max="15114" width="10.5703125" style="51" customWidth="1"/>
    <col min="15115" max="15115" width="12.7109375" style="51" customWidth="1"/>
    <col min="15116" max="15360" width="9.140625" style="51"/>
    <col min="15361" max="15361" width="25.85546875" style="51" customWidth="1"/>
    <col min="15362" max="15362" width="12.7109375" style="51" customWidth="1"/>
    <col min="15363" max="15363" width="6.85546875" style="51" bestFit="1" customWidth="1"/>
    <col min="15364" max="15364" width="9.140625" style="51" customWidth="1"/>
    <col min="15365" max="15365" width="12.7109375" style="51" customWidth="1"/>
    <col min="15366" max="15366" width="7" style="51" bestFit="1" customWidth="1"/>
    <col min="15367" max="15367" width="11.28515625" style="51" customWidth="1"/>
    <col min="15368" max="15368" width="12.7109375" style="51" customWidth="1"/>
    <col min="15369" max="15369" width="9.42578125" style="51" bestFit="1" customWidth="1"/>
    <col min="15370" max="15370" width="10.5703125" style="51" customWidth="1"/>
    <col min="15371" max="15371" width="12.7109375" style="51" customWidth="1"/>
    <col min="15372" max="15616" width="9.140625" style="51"/>
    <col min="15617" max="15617" width="25.85546875" style="51" customWidth="1"/>
    <col min="15618" max="15618" width="12.7109375" style="51" customWidth="1"/>
    <col min="15619" max="15619" width="6.85546875" style="51" bestFit="1" customWidth="1"/>
    <col min="15620" max="15620" width="9.140625" style="51" customWidth="1"/>
    <col min="15621" max="15621" width="12.7109375" style="51" customWidth="1"/>
    <col min="15622" max="15622" width="7" style="51" bestFit="1" customWidth="1"/>
    <col min="15623" max="15623" width="11.28515625" style="51" customWidth="1"/>
    <col min="15624" max="15624" width="12.7109375" style="51" customWidth="1"/>
    <col min="15625" max="15625" width="9.42578125" style="51" bestFit="1" customWidth="1"/>
    <col min="15626" max="15626" width="10.5703125" style="51" customWidth="1"/>
    <col min="15627" max="15627" width="12.7109375" style="51" customWidth="1"/>
    <col min="15628" max="15872" width="9.140625" style="51"/>
    <col min="15873" max="15873" width="25.85546875" style="51" customWidth="1"/>
    <col min="15874" max="15874" width="12.7109375" style="51" customWidth="1"/>
    <col min="15875" max="15875" width="6.85546875" style="51" bestFit="1" customWidth="1"/>
    <col min="15876" max="15876" width="9.140625" style="51" customWidth="1"/>
    <col min="15877" max="15877" width="12.7109375" style="51" customWidth="1"/>
    <col min="15878" max="15878" width="7" style="51" bestFit="1" customWidth="1"/>
    <col min="15879" max="15879" width="11.28515625" style="51" customWidth="1"/>
    <col min="15880" max="15880" width="12.7109375" style="51" customWidth="1"/>
    <col min="15881" max="15881" width="9.42578125" style="51" bestFit="1" customWidth="1"/>
    <col min="15882" max="15882" width="10.5703125" style="51" customWidth="1"/>
    <col min="15883" max="15883" width="12.7109375" style="51" customWidth="1"/>
    <col min="15884" max="16128" width="9.140625" style="51"/>
    <col min="16129" max="16129" width="25.85546875" style="51" customWidth="1"/>
    <col min="16130" max="16130" width="12.7109375" style="51" customWidth="1"/>
    <col min="16131" max="16131" width="6.85546875" style="51" bestFit="1" customWidth="1"/>
    <col min="16132" max="16132" width="9.140625" style="51" customWidth="1"/>
    <col min="16133" max="16133" width="12.7109375" style="51" customWidth="1"/>
    <col min="16134" max="16134" width="7" style="51" bestFit="1" customWidth="1"/>
    <col min="16135" max="16135" width="11.28515625" style="51" customWidth="1"/>
    <col min="16136" max="16136" width="12.7109375" style="51" customWidth="1"/>
    <col min="16137" max="16137" width="9.42578125" style="51" bestFit="1" customWidth="1"/>
    <col min="16138" max="16138" width="10.5703125" style="51" customWidth="1"/>
    <col min="16139" max="16139" width="12.7109375" style="51" customWidth="1"/>
    <col min="16140" max="16384" width="9.140625" style="51"/>
  </cols>
  <sheetData>
    <row r="1" spans="1:11">
      <c r="J1" s="389" t="s">
        <v>332</v>
      </c>
      <c r="K1" s="389"/>
    </row>
    <row r="2" spans="1:11" ht="35.25" customHeight="1">
      <c r="H2" s="390" t="s">
        <v>495</v>
      </c>
      <c r="I2" s="390"/>
      <c r="J2" s="390"/>
      <c r="K2" s="390"/>
    </row>
    <row r="4" spans="1:11">
      <c r="A4" s="400" t="s">
        <v>507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</row>
    <row r="6" spans="1:11">
      <c r="A6" s="401"/>
      <c r="B6" s="402" t="s">
        <v>508</v>
      </c>
      <c r="C6" s="402"/>
      <c r="D6" s="402"/>
      <c r="E6" s="402" t="s">
        <v>509</v>
      </c>
      <c r="F6" s="402"/>
      <c r="G6" s="402"/>
      <c r="H6" s="402" t="s">
        <v>473</v>
      </c>
      <c r="I6" s="402"/>
      <c r="J6" s="402"/>
      <c r="K6" s="402"/>
    </row>
    <row r="7" spans="1:11" ht="22.5" customHeight="1">
      <c r="A7" s="401"/>
      <c r="B7" s="403" t="s">
        <v>446</v>
      </c>
      <c r="C7" s="401" t="s">
        <v>333</v>
      </c>
      <c r="D7" s="401"/>
      <c r="E7" s="403" t="s">
        <v>510</v>
      </c>
      <c r="F7" s="401" t="s">
        <v>333</v>
      </c>
      <c r="G7" s="401"/>
      <c r="H7" s="403" t="s">
        <v>447</v>
      </c>
      <c r="I7" s="401" t="s">
        <v>333</v>
      </c>
      <c r="J7" s="401"/>
      <c r="K7" s="403" t="s">
        <v>511</v>
      </c>
    </row>
    <row r="8" spans="1:11" ht="30">
      <c r="A8" s="401"/>
      <c r="B8" s="403"/>
      <c r="C8" s="286" t="s">
        <v>334</v>
      </c>
      <c r="D8" s="285" t="s">
        <v>335</v>
      </c>
      <c r="E8" s="403"/>
      <c r="F8" s="286" t="s">
        <v>334</v>
      </c>
      <c r="G8" s="285" t="s">
        <v>335</v>
      </c>
      <c r="H8" s="403"/>
      <c r="I8" s="286" t="s">
        <v>334</v>
      </c>
      <c r="J8" s="285" t="s">
        <v>335</v>
      </c>
      <c r="K8" s="403"/>
    </row>
    <row r="9" spans="1:11" ht="15.75">
      <c r="A9" s="404" t="s">
        <v>336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</row>
    <row r="10" spans="1:11" ht="15.75">
      <c r="A10" s="81" t="s">
        <v>337</v>
      </c>
      <c r="B10" s="324">
        <v>10076</v>
      </c>
      <c r="C10" s="324">
        <v>519</v>
      </c>
      <c r="D10" s="324">
        <v>24.1</v>
      </c>
      <c r="E10" s="325">
        <v>10935</v>
      </c>
      <c r="F10" s="325">
        <v>775</v>
      </c>
      <c r="G10" s="326">
        <v>65.7</v>
      </c>
      <c r="H10" s="325">
        <v>11706</v>
      </c>
      <c r="I10" s="325">
        <v>972</v>
      </c>
      <c r="J10" s="326">
        <v>82.3</v>
      </c>
      <c r="K10" s="325">
        <v>10839</v>
      </c>
    </row>
    <row r="11" spans="1:11" ht="15.75">
      <c r="A11" s="81" t="s">
        <v>338</v>
      </c>
      <c r="B11" s="324">
        <v>17037</v>
      </c>
      <c r="C11" s="324">
        <v>1382</v>
      </c>
      <c r="D11" s="324">
        <v>50</v>
      </c>
      <c r="E11" s="325">
        <v>18547</v>
      </c>
      <c r="F11" s="325">
        <v>1913</v>
      </c>
      <c r="G11" s="326">
        <v>64</v>
      </c>
      <c r="H11" s="325">
        <v>18000</v>
      </c>
      <c r="I11" s="325">
        <v>2141</v>
      </c>
      <c r="J11" s="326">
        <v>71</v>
      </c>
      <c r="K11" s="325">
        <v>19122</v>
      </c>
    </row>
    <row r="12" spans="1:11" ht="15.75">
      <c r="A12" s="81" t="s">
        <v>339</v>
      </c>
      <c r="B12" s="324">
        <v>19512</v>
      </c>
      <c r="C12" s="324">
        <v>855</v>
      </c>
      <c r="D12" s="324">
        <v>33.200000000000003</v>
      </c>
      <c r="E12" s="325">
        <v>17407</v>
      </c>
      <c r="F12" s="325">
        <v>1621</v>
      </c>
      <c r="G12" s="326">
        <v>60.3</v>
      </c>
      <c r="H12" s="325">
        <v>18200</v>
      </c>
      <c r="I12" s="325">
        <v>2000</v>
      </c>
      <c r="J12" s="326">
        <v>70</v>
      </c>
      <c r="K12" s="325">
        <v>19500</v>
      </c>
    </row>
    <row r="13" spans="1:11" ht="15.75">
      <c r="A13" s="82" t="s">
        <v>340</v>
      </c>
      <c r="B13" s="327">
        <f>B10+B11+B12</f>
        <v>46625</v>
      </c>
      <c r="C13" s="327">
        <f>C10+C11+C12</f>
        <v>2756</v>
      </c>
      <c r="D13" s="328">
        <f>D10+D11+D12</f>
        <v>107.3</v>
      </c>
      <c r="E13" s="327">
        <f>E10+E11+E12</f>
        <v>46889</v>
      </c>
      <c r="F13" s="327">
        <f t="shared" ref="F13:K13" si="0">F10+F11+F12</f>
        <v>4309</v>
      </c>
      <c r="G13" s="328">
        <f t="shared" si="0"/>
        <v>190</v>
      </c>
      <c r="H13" s="327">
        <f t="shared" si="0"/>
        <v>47906</v>
      </c>
      <c r="I13" s="327">
        <f t="shared" si="0"/>
        <v>5113</v>
      </c>
      <c r="J13" s="328">
        <f t="shared" si="0"/>
        <v>223.3</v>
      </c>
      <c r="K13" s="327">
        <f t="shared" si="0"/>
        <v>49461</v>
      </c>
    </row>
    <row r="14" spans="1:1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topLeftCell="A52" zoomScaleNormal="100" zoomScaleSheetLayoutView="100" workbookViewId="0">
      <selection activeCell="D24" sqref="D24"/>
    </sheetView>
  </sheetViews>
  <sheetFormatPr defaultRowHeight="15"/>
  <cols>
    <col min="1" max="1" width="22.42578125" style="51" customWidth="1"/>
    <col min="2" max="2" width="7" style="51" customWidth="1"/>
    <col min="3" max="3" width="79.140625" style="51" customWidth="1"/>
    <col min="4" max="4" width="28" style="51" customWidth="1"/>
    <col min="5" max="5" width="27.42578125" style="51" customWidth="1"/>
    <col min="6" max="6" width="27.28515625" style="51" customWidth="1"/>
    <col min="7" max="256" width="9.140625" style="51"/>
    <col min="257" max="257" width="22.42578125" style="51" customWidth="1"/>
    <col min="258" max="258" width="7" style="51" customWidth="1"/>
    <col min="259" max="259" width="79.140625" style="51" customWidth="1"/>
    <col min="260" max="260" width="28" style="51" customWidth="1"/>
    <col min="261" max="261" width="27.42578125" style="51" customWidth="1"/>
    <col min="262" max="262" width="27.28515625" style="51" customWidth="1"/>
    <col min="263" max="512" width="9.140625" style="51"/>
    <col min="513" max="513" width="22.42578125" style="51" customWidth="1"/>
    <col min="514" max="514" width="7" style="51" customWidth="1"/>
    <col min="515" max="515" width="79.140625" style="51" customWidth="1"/>
    <col min="516" max="516" width="28" style="51" customWidth="1"/>
    <col min="517" max="517" width="27.42578125" style="51" customWidth="1"/>
    <col min="518" max="518" width="27.28515625" style="51" customWidth="1"/>
    <col min="519" max="768" width="9.140625" style="51"/>
    <col min="769" max="769" width="22.42578125" style="51" customWidth="1"/>
    <col min="770" max="770" width="7" style="51" customWidth="1"/>
    <col min="771" max="771" width="79.140625" style="51" customWidth="1"/>
    <col min="772" max="772" width="28" style="51" customWidth="1"/>
    <col min="773" max="773" width="27.42578125" style="51" customWidth="1"/>
    <col min="774" max="774" width="27.28515625" style="51" customWidth="1"/>
    <col min="775" max="1024" width="9.140625" style="51"/>
    <col min="1025" max="1025" width="22.42578125" style="51" customWidth="1"/>
    <col min="1026" max="1026" width="7" style="51" customWidth="1"/>
    <col min="1027" max="1027" width="79.140625" style="51" customWidth="1"/>
    <col min="1028" max="1028" width="28" style="51" customWidth="1"/>
    <col min="1029" max="1029" width="27.42578125" style="51" customWidth="1"/>
    <col min="1030" max="1030" width="27.28515625" style="51" customWidth="1"/>
    <col min="1031" max="1280" width="9.140625" style="51"/>
    <col min="1281" max="1281" width="22.42578125" style="51" customWidth="1"/>
    <col min="1282" max="1282" width="7" style="51" customWidth="1"/>
    <col min="1283" max="1283" width="79.140625" style="51" customWidth="1"/>
    <col min="1284" max="1284" width="28" style="51" customWidth="1"/>
    <col min="1285" max="1285" width="27.42578125" style="51" customWidth="1"/>
    <col min="1286" max="1286" width="27.28515625" style="51" customWidth="1"/>
    <col min="1287" max="1536" width="9.140625" style="51"/>
    <col min="1537" max="1537" width="22.42578125" style="51" customWidth="1"/>
    <col min="1538" max="1538" width="7" style="51" customWidth="1"/>
    <col min="1539" max="1539" width="79.140625" style="51" customWidth="1"/>
    <col min="1540" max="1540" width="28" style="51" customWidth="1"/>
    <col min="1541" max="1541" width="27.42578125" style="51" customWidth="1"/>
    <col min="1542" max="1542" width="27.28515625" style="51" customWidth="1"/>
    <col min="1543" max="1792" width="9.140625" style="51"/>
    <col min="1793" max="1793" width="22.42578125" style="51" customWidth="1"/>
    <col min="1794" max="1794" width="7" style="51" customWidth="1"/>
    <col min="1795" max="1795" width="79.140625" style="51" customWidth="1"/>
    <col min="1796" max="1796" width="28" style="51" customWidth="1"/>
    <col min="1797" max="1797" width="27.42578125" style="51" customWidth="1"/>
    <col min="1798" max="1798" width="27.28515625" style="51" customWidth="1"/>
    <col min="1799" max="2048" width="9.140625" style="51"/>
    <col min="2049" max="2049" width="22.42578125" style="51" customWidth="1"/>
    <col min="2050" max="2050" width="7" style="51" customWidth="1"/>
    <col min="2051" max="2051" width="79.140625" style="51" customWidth="1"/>
    <col min="2052" max="2052" width="28" style="51" customWidth="1"/>
    <col min="2053" max="2053" width="27.42578125" style="51" customWidth="1"/>
    <col min="2054" max="2054" width="27.28515625" style="51" customWidth="1"/>
    <col min="2055" max="2304" width="9.140625" style="51"/>
    <col min="2305" max="2305" width="22.42578125" style="51" customWidth="1"/>
    <col min="2306" max="2306" width="7" style="51" customWidth="1"/>
    <col min="2307" max="2307" width="79.140625" style="51" customWidth="1"/>
    <col min="2308" max="2308" width="28" style="51" customWidth="1"/>
    <col min="2309" max="2309" width="27.42578125" style="51" customWidth="1"/>
    <col min="2310" max="2310" width="27.28515625" style="51" customWidth="1"/>
    <col min="2311" max="2560" width="9.140625" style="51"/>
    <col min="2561" max="2561" width="22.42578125" style="51" customWidth="1"/>
    <col min="2562" max="2562" width="7" style="51" customWidth="1"/>
    <col min="2563" max="2563" width="79.140625" style="51" customWidth="1"/>
    <col min="2564" max="2564" width="28" style="51" customWidth="1"/>
    <col min="2565" max="2565" width="27.42578125" style="51" customWidth="1"/>
    <col min="2566" max="2566" width="27.28515625" style="51" customWidth="1"/>
    <col min="2567" max="2816" width="9.140625" style="51"/>
    <col min="2817" max="2817" width="22.42578125" style="51" customWidth="1"/>
    <col min="2818" max="2818" width="7" style="51" customWidth="1"/>
    <col min="2819" max="2819" width="79.140625" style="51" customWidth="1"/>
    <col min="2820" max="2820" width="28" style="51" customWidth="1"/>
    <col min="2821" max="2821" width="27.42578125" style="51" customWidth="1"/>
    <col min="2822" max="2822" width="27.28515625" style="51" customWidth="1"/>
    <col min="2823" max="3072" width="9.140625" style="51"/>
    <col min="3073" max="3073" width="22.42578125" style="51" customWidth="1"/>
    <col min="3074" max="3074" width="7" style="51" customWidth="1"/>
    <col min="3075" max="3075" width="79.140625" style="51" customWidth="1"/>
    <col min="3076" max="3076" width="28" style="51" customWidth="1"/>
    <col min="3077" max="3077" width="27.42578125" style="51" customWidth="1"/>
    <col min="3078" max="3078" width="27.28515625" style="51" customWidth="1"/>
    <col min="3079" max="3328" width="9.140625" style="51"/>
    <col min="3329" max="3329" width="22.42578125" style="51" customWidth="1"/>
    <col min="3330" max="3330" width="7" style="51" customWidth="1"/>
    <col min="3331" max="3331" width="79.140625" style="51" customWidth="1"/>
    <col min="3332" max="3332" width="28" style="51" customWidth="1"/>
    <col min="3333" max="3333" width="27.42578125" style="51" customWidth="1"/>
    <col min="3334" max="3334" width="27.28515625" style="51" customWidth="1"/>
    <col min="3335" max="3584" width="9.140625" style="51"/>
    <col min="3585" max="3585" width="22.42578125" style="51" customWidth="1"/>
    <col min="3586" max="3586" width="7" style="51" customWidth="1"/>
    <col min="3587" max="3587" width="79.140625" style="51" customWidth="1"/>
    <col min="3588" max="3588" width="28" style="51" customWidth="1"/>
    <col min="3589" max="3589" width="27.42578125" style="51" customWidth="1"/>
    <col min="3590" max="3590" width="27.28515625" style="51" customWidth="1"/>
    <col min="3591" max="3840" width="9.140625" style="51"/>
    <col min="3841" max="3841" width="22.42578125" style="51" customWidth="1"/>
    <col min="3842" max="3842" width="7" style="51" customWidth="1"/>
    <col min="3843" max="3843" width="79.140625" style="51" customWidth="1"/>
    <col min="3844" max="3844" width="28" style="51" customWidth="1"/>
    <col min="3845" max="3845" width="27.42578125" style="51" customWidth="1"/>
    <col min="3846" max="3846" width="27.28515625" style="51" customWidth="1"/>
    <col min="3847" max="4096" width="9.140625" style="51"/>
    <col min="4097" max="4097" width="22.42578125" style="51" customWidth="1"/>
    <col min="4098" max="4098" width="7" style="51" customWidth="1"/>
    <col min="4099" max="4099" width="79.140625" style="51" customWidth="1"/>
    <col min="4100" max="4100" width="28" style="51" customWidth="1"/>
    <col min="4101" max="4101" width="27.42578125" style="51" customWidth="1"/>
    <col min="4102" max="4102" width="27.28515625" style="51" customWidth="1"/>
    <col min="4103" max="4352" width="9.140625" style="51"/>
    <col min="4353" max="4353" width="22.42578125" style="51" customWidth="1"/>
    <col min="4354" max="4354" width="7" style="51" customWidth="1"/>
    <col min="4355" max="4355" width="79.140625" style="51" customWidth="1"/>
    <col min="4356" max="4356" width="28" style="51" customWidth="1"/>
    <col min="4357" max="4357" width="27.42578125" style="51" customWidth="1"/>
    <col min="4358" max="4358" width="27.28515625" style="51" customWidth="1"/>
    <col min="4359" max="4608" width="9.140625" style="51"/>
    <col min="4609" max="4609" width="22.42578125" style="51" customWidth="1"/>
    <col min="4610" max="4610" width="7" style="51" customWidth="1"/>
    <col min="4611" max="4611" width="79.140625" style="51" customWidth="1"/>
    <col min="4612" max="4612" width="28" style="51" customWidth="1"/>
    <col min="4613" max="4613" width="27.42578125" style="51" customWidth="1"/>
    <col min="4614" max="4614" width="27.28515625" style="51" customWidth="1"/>
    <col min="4615" max="4864" width="9.140625" style="51"/>
    <col min="4865" max="4865" width="22.42578125" style="51" customWidth="1"/>
    <col min="4866" max="4866" width="7" style="51" customWidth="1"/>
    <col min="4867" max="4867" width="79.140625" style="51" customWidth="1"/>
    <col min="4868" max="4868" width="28" style="51" customWidth="1"/>
    <col min="4869" max="4869" width="27.42578125" style="51" customWidth="1"/>
    <col min="4870" max="4870" width="27.28515625" style="51" customWidth="1"/>
    <col min="4871" max="5120" width="9.140625" style="51"/>
    <col min="5121" max="5121" width="22.42578125" style="51" customWidth="1"/>
    <col min="5122" max="5122" width="7" style="51" customWidth="1"/>
    <col min="5123" max="5123" width="79.140625" style="51" customWidth="1"/>
    <col min="5124" max="5124" width="28" style="51" customWidth="1"/>
    <col min="5125" max="5125" width="27.42578125" style="51" customWidth="1"/>
    <col min="5126" max="5126" width="27.28515625" style="51" customWidth="1"/>
    <col min="5127" max="5376" width="9.140625" style="51"/>
    <col min="5377" max="5377" width="22.42578125" style="51" customWidth="1"/>
    <col min="5378" max="5378" width="7" style="51" customWidth="1"/>
    <col min="5379" max="5379" width="79.140625" style="51" customWidth="1"/>
    <col min="5380" max="5380" width="28" style="51" customWidth="1"/>
    <col min="5381" max="5381" width="27.42578125" style="51" customWidth="1"/>
    <col min="5382" max="5382" width="27.28515625" style="51" customWidth="1"/>
    <col min="5383" max="5632" width="9.140625" style="51"/>
    <col min="5633" max="5633" width="22.42578125" style="51" customWidth="1"/>
    <col min="5634" max="5634" width="7" style="51" customWidth="1"/>
    <col min="5635" max="5635" width="79.140625" style="51" customWidth="1"/>
    <col min="5636" max="5636" width="28" style="51" customWidth="1"/>
    <col min="5637" max="5637" width="27.42578125" style="51" customWidth="1"/>
    <col min="5638" max="5638" width="27.28515625" style="51" customWidth="1"/>
    <col min="5639" max="5888" width="9.140625" style="51"/>
    <col min="5889" max="5889" width="22.42578125" style="51" customWidth="1"/>
    <col min="5890" max="5890" width="7" style="51" customWidth="1"/>
    <col min="5891" max="5891" width="79.140625" style="51" customWidth="1"/>
    <col min="5892" max="5892" width="28" style="51" customWidth="1"/>
    <col min="5893" max="5893" width="27.42578125" style="51" customWidth="1"/>
    <col min="5894" max="5894" width="27.28515625" style="51" customWidth="1"/>
    <col min="5895" max="6144" width="9.140625" style="51"/>
    <col min="6145" max="6145" width="22.42578125" style="51" customWidth="1"/>
    <col min="6146" max="6146" width="7" style="51" customWidth="1"/>
    <col min="6147" max="6147" width="79.140625" style="51" customWidth="1"/>
    <col min="6148" max="6148" width="28" style="51" customWidth="1"/>
    <col min="6149" max="6149" width="27.42578125" style="51" customWidth="1"/>
    <col min="6150" max="6150" width="27.28515625" style="51" customWidth="1"/>
    <col min="6151" max="6400" width="9.140625" style="51"/>
    <col min="6401" max="6401" width="22.42578125" style="51" customWidth="1"/>
    <col min="6402" max="6402" width="7" style="51" customWidth="1"/>
    <col min="6403" max="6403" width="79.140625" style="51" customWidth="1"/>
    <col min="6404" max="6404" width="28" style="51" customWidth="1"/>
    <col min="6405" max="6405" width="27.42578125" style="51" customWidth="1"/>
    <col min="6406" max="6406" width="27.28515625" style="51" customWidth="1"/>
    <col min="6407" max="6656" width="9.140625" style="51"/>
    <col min="6657" max="6657" width="22.42578125" style="51" customWidth="1"/>
    <col min="6658" max="6658" width="7" style="51" customWidth="1"/>
    <col min="6659" max="6659" width="79.140625" style="51" customWidth="1"/>
    <col min="6660" max="6660" width="28" style="51" customWidth="1"/>
    <col min="6661" max="6661" width="27.42578125" style="51" customWidth="1"/>
    <col min="6662" max="6662" width="27.28515625" style="51" customWidth="1"/>
    <col min="6663" max="6912" width="9.140625" style="51"/>
    <col min="6913" max="6913" width="22.42578125" style="51" customWidth="1"/>
    <col min="6914" max="6914" width="7" style="51" customWidth="1"/>
    <col min="6915" max="6915" width="79.140625" style="51" customWidth="1"/>
    <col min="6916" max="6916" width="28" style="51" customWidth="1"/>
    <col min="6917" max="6917" width="27.42578125" style="51" customWidth="1"/>
    <col min="6918" max="6918" width="27.28515625" style="51" customWidth="1"/>
    <col min="6919" max="7168" width="9.140625" style="51"/>
    <col min="7169" max="7169" width="22.42578125" style="51" customWidth="1"/>
    <col min="7170" max="7170" width="7" style="51" customWidth="1"/>
    <col min="7171" max="7171" width="79.140625" style="51" customWidth="1"/>
    <col min="7172" max="7172" width="28" style="51" customWidth="1"/>
    <col min="7173" max="7173" width="27.42578125" style="51" customWidth="1"/>
    <col min="7174" max="7174" width="27.28515625" style="51" customWidth="1"/>
    <col min="7175" max="7424" width="9.140625" style="51"/>
    <col min="7425" max="7425" width="22.42578125" style="51" customWidth="1"/>
    <col min="7426" max="7426" width="7" style="51" customWidth="1"/>
    <col min="7427" max="7427" width="79.140625" style="51" customWidth="1"/>
    <col min="7428" max="7428" width="28" style="51" customWidth="1"/>
    <col min="7429" max="7429" width="27.42578125" style="51" customWidth="1"/>
    <col min="7430" max="7430" width="27.28515625" style="51" customWidth="1"/>
    <col min="7431" max="7680" width="9.140625" style="51"/>
    <col min="7681" max="7681" width="22.42578125" style="51" customWidth="1"/>
    <col min="7682" max="7682" width="7" style="51" customWidth="1"/>
    <col min="7683" max="7683" width="79.140625" style="51" customWidth="1"/>
    <col min="7684" max="7684" width="28" style="51" customWidth="1"/>
    <col min="7685" max="7685" width="27.42578125" style="51" customWidth="1"/>
    <col min="7686" max="7686" width="27.28515625" style="51" customWidth="1"/>
    <col min="7687" max="7936" width="9.140625" style="51"/>
    <col min="7937" max="7937" width="22.42578125" style="51" customWidth="1"/>
    <col min="7938" max="7938" width="7" style="51" customWidth="1"/>
    <col min="7939" max="7939" width="79.140625" style="51" customWidth="1"/>
    <col min="7940" max="7940" width="28" style="51" customWidth="1"/>
    <col min="7941" max="7941" width="27.42578125" style="51" customWidth="1"/>
    <col min="7942" max="7942" width="27.28515625" style="51" customWidth="1"/>
    <col min="7943" max="8192" width="9.140625" style="51"/>
    <col min="8193" max="8193" width="22.42578125" style="51" customWidth="1"/>
    <col min="8194" max="8194" width="7" style="51" customWidth="1"/>
    <col min="8195" max="8195" width="79.140625" style="51" customWidth="1"/>
    <col min="8196" max="8196" width="28" style="51" customWidth="1"/>
    <col min="8197" max="8197" width="27.42578125" style="51" customWidth="1"/>
    <col min="8198" max="8198" width="27.28515625" style="51" customWidth="1"/>
    <col min="8199" max="8448" width="9.140625" style="51"/>
    <col min="8449" max="8449" width="22.42578125" style="51" customWidth="1"/>
    <col min="8450" max="8450" width="7" style="51" customWidth="1"/>
    <col min="8451" max="8451" width="79.140625" style="51" customWidth="1"/>
    <col min="8452" max="8452" width="28" style="51" customWidth="1"/>
    <col min="8453" max="8453" width="27.42578125" style="51" customWidth="1"/>
    <col min="8454" max="8454" width="27.28515625" style="51" customWidth="1"/>
    <col min="8455" max="8704" width="9.140625" style="51"/>
    <col min="8705" max="8705" width="22.42578125" style="51" customWidth="1"/>
    <col min="8706" max="8706" width="7" style="51" customWidth="1"/>
    <col min="8707" max="8707" width="79.140625" style="51" customWidth="1"/>
    <col min="8708" max="8708" width="28" style="51" customWidth="1"/>
    <col min="8709" max="8709" width="27.42578125" style="51" customWidth="1"/>
    <col min="8710" max="8710" width="27.28515625" style="51" customWidth="1"/>
    <col min="8711" max="8960" width="9.140625" style="51"/>
    <col min="8961" max="8961" width="22.42578125" style="51" customWidth="1"/>
    <col min="8962" max="8962" width="7" style="51" customWidth="1"/>
    <col min="8963" max="8963" width="79.140625" style="51" customWidth="1"/>
    <col min="8964" max="8964" width="28" style="51" customWidth="1"/>
    <col min="8965" max="8965" width="27.42578125" style="51" customWidth="1"/>
    <col min="8966" max="8966" width="27.28515625" style="51" customWidth="1"/>
    <col min="8967" max="9216" width="9.140625" style="51"/>
    <col min="9217" max="9217" width="22.42578125" style="51" customWidth="1"/>
    <col min="9218" max="9218" width="7" style="51" customWidth="1"/>
    <col min="9219" max="9219" width="79.140625" style="51" customWidth="1"/>
    <col min="9220" max="9220" width="28" style="51" customWidth="1"/>
    <col min="9221" max="9221" width="27.42578125" style="51" customWidth="1"/>
    <col min="9222" max="9222" width="27.28515625" style="51" customWidth="1"/>
    <col min="9223" max="9472" width="9.140625" style="51"/>
    <col min="9473" max="9473" width="22.42578125" style="51" customWidth="1"/>
    <col min="9474" max="9474" width="7" style="51" customWidth="1"/>
    <col min="9475" max="9475" width="79.140625" style="51" customWidth="1"/>
    <col min="9476" max="9476" width="28" style="51" customWidth="1"/>
    <col min="9477" max="9477" width="27.42578125" style="51" customWidth="1"/>
    <col min="9478" max="9478" width="27.28515625" style="51" customWidth="1"/>
    <col min="9479" max="9728" width="9.140625" style="51"/>
    <col min="9729" max="9729" width="22.42578125" style="51" customWidth="1"/>
    <col min="9730" max="9730" width="7" style="51" customWidth="1"/>
    <col min="9731" max="9731" width="79.140625" style="51" customWidth="1"/>
    <col min="9732" max="9732" width="28" style="51" customWidth="1"/>
    <col min="9733" max="9733" width="27.42578125" style="51" customWidth="1"/>
    <col min="9734" max="9734" width="27.28515625" style="51" customWidth="1"/>
    <col min="9735" max="9984" width="9.140625" style="51"/>
    <col min="9985" max="9985" width="22.42578125" style="51" customWidth="1"/>
    <col min="9986" max="9986" width="7" style="51" customWidth="1"/>
    <col min="9987" max="9987" width="79.140625" style="51" customWidth="1"/>
    <col min="9988" max="9988" width="28" style="51" customWidth="1"/>
    <col min="9989" max="9989" width="27.42578125" style="51" customWidth="1"/>
    <col min="9990" max="9990" width="27.28515625" style="51" customWidth="1"/>
    <col min="9991" max="10240" width="9.140625" style="51"/>
    <col min="10241" max="10241" width="22.42578125" style="51" customWidth="1"/>
    <col min="10242" max="10242" width="7" style="51" customWidth="1"/>
    <col min="10243" max="10243" width="79.140625" style="51" customWidth="1"/>
    <col min="10244" max="10244" width="28" style="51" customWidth="1"/>
    <col min="10245" max="10245" width="27.42578125" style="51" customWidth="1"/>
    <col min="10246" max="10246" width="27.28515625" style="51" customWidth="1"/>
    <col min="10247" max="10496" width="9.140625" style="51"/>
    <col min="10497" max="10497" width="22.42578125" style="51" customWidth="1"/>
    <col min="10498" max="10498" width="7" style="51" customWidth="1"/>
    <col min="10499" max="10499" width="79.140625" style="51" customWidth="1"/>
    <col min="10500" max="10500" width="28" style="51" customWidth="1"/>
    <col min="10501" max="10501" width="27.42578125" style="51" customWidth="1"/>
    <col min="10502" max="10502" width="27.28515625" style="51" customWidth="1"/>
    <col min="10503" max="10752" width="9.140625" style="51"/>
    <col min="10753" max="10753" width="22.42578125" style="51" customWidth="1"/>
    <col min="10754" max="10754" width="7" style="51" customWidth="1"/>
    <col min="10755" max="10755" width="79.140625" style="51" customWidth="1"/>
    <col min="10756" max="10756" width="28" style="51" customWidth="1"/>
    <col min="10757" max="10757" width="27.42578125" style="51" customWidth="1"/>
    <col min="10758" max="10758" width="27.28515625" style="51" customWidth="1"/>
    <col min="10759" max="11008" width="9.140625" style="51"/>
    <col min="11009" max="11009" width="22.42578125" style="51" customWidth="1"/>
    <col min="11010" max="11010" width="7" style="51" customWidth="1"/>
    <col min="11011" max="11011" width="79.140625" style="51" customWidth="1"/>
    <col min="11012" max="11012" width="28" style="51" customWidth="1"/>
    <col min="11013" max="11013" width="27.42578125" style="51" customWidth="1"/>
    <col min="11014" max="11014" width="27.28515625" style="51" customWidth="1"/>
    <col min="11015" max="11264" width="9.140625" style="51"/>
    <col min="11265" max="11265" width="22.42578125" style="51" customWidth="1"/>
    <col min="11266" max="11266" width="7" style="51" customWidth="1"/>
    <col min="11267" max="11267" width="79.140625" style="51" customWidth="1"/>
    <col min="11268" max="11268" width="28" style="51" customWidth="1"/>
    <col min="11269" max="11269" width="27.42578125" style="51" customWidth="1"/>
    <col min="11270" max="11270" width="27.28515625" style="51" customWidth="1"/>
    <col min="11271" max="11520" width="9.140625" style="51"/>
    <col min="11521" max="11521" width="22.42578125" style="51" customWidth="1"/>
    <col min="11522" max="11522" width="7" style="51" customWidth="1"/>
    <col min="11523" max="11523" width="79.140625" style="51" customWidth="1"/>
    <col min="11524" max="11524" width="28" style="51" customWidth="1"/>
    <col min="11525" max="11525" width="27.42578125" style="51" customWidth="1"/>
    <col min="11526" max="11526" width="27.28515625" style="51" customWidth="1"/>
    <col min="11527" max="11776" width="9.140625" style="51"/>
    <col min="11777" max="11777" width="22.42578125" style="51" customWidth="1"/>
    <col min="11778" max="11778" width="7" style="51" customWidth="1"/>
    <col min="11779" max="11779" width="79.140625" style="51" customWidth="1"/>
    <col min="11780" max="11780" width="28" style="51" customWidth="1"/>
    <col min="11781" max="11781" width="27.42578125" style="51" customWidth="1"/>
    <col min="11782" max="11782" width="27.28515625" style="51" customWidth="1"/>
    <col min="11783" max="12032" width="9.140625" style="51"/>
    <col min="12033" max="12033" width="22.42578125" style="51" customWidth="1"/>
    <col min="12034" max="12034" width="7" style="51" customWidth="1"/>
    <col min="12035" max="12035" width="79.140625" style="51" customWidth="1"/>
    <col min="12036" max="12036" width="28" style="51" customWidth="1"/>
    <col min="12037" max="12037" width="27.42578125" style="51" customWidth="1"/>
    <col min="12038" max="12038" width="27.28515625" style="51" customWidth="1"/>
    <col min="12039" max="12288" width="9.140625" style="51"/>
    <col min="12289" max="12289" width="22.42578125" style="51" customWidth="1"/>
    <col min="12290" max="12290" width="7" style="51" customWidth="1"/>
    <col min="12291" max="12291" width="79.140625" style="51" customWidth="1"/>
    <col min="12292" max="12292" width="28" style="51" customWidth="1"/>
    <col min="12293" max="12293" width="27.42578125" style="51" customWidth="1"/>
    <col min="12294" max="12294" width="27.28515625" style="51" customWidth="1"/>
    <col min="12295" max="12544" width="9.140625" style="51"/>
    <col min="12545" max="12545" width="22.42578125" style="51" customWidth="1"/>
    <col min="12546" max="12546" width="7" style="51" customWidth="1"/>
    <col min="12547" max="12547" width="79.140625" style="51" customWidth="1"/>
    <col min="12548" max="12548" width="28" style="51" customWidth="1"/>
    <col min="12549" max="12549" width="27.42578125" style="51" customWidth="1"/>
    <col min="12550" max="12550" width="27.28515625" style="51" customWidth="1"/>
    <col min="12551" max="12800" width="9.140625" style="51"/>
    <col min="12801" max="12801" width="22.42578125" style="51" customWidth="1"/>
    <col min="12802" max="12802" width="7" style="51" customWidth="1"/>
    <col min="12803" max="12803" width="79.140625" style="51" customWidth="1"/>
    <col min="12804" max="12804" width="28" style="51" customWidth="1"/>
    <col min="12805" max="12805" width="27.42578125" style="51" customWidth="1"/>
    <col min="12806" max="12806" width="27.28515625" style="51" customWidth="1"/>
    <col min="12807" max="13056" width="9.140625" style="51"/>
    <col min="13057" max="13057" width="22.42578125" style="51" customWidth="1"/>
    <col min="13058" max="13058" width="7" style="51" customWidth="1"/>
    <col min="13059" max="13059" width="79.140625" style="51" customWidth="1"/>
    <col min="13060" max="13060" width="28" style="51" customWidth="1"/>
    <col min="13061" max="13061" width="27.42578125" style="51" customWidth="1"/>
    <col min="13062" max="13062" width="27.28515625" style="51" customWidth="1"/>
    <col min="13063" max="13312" width="9.140625" style="51"/>
    <col min="13313" max="13313" width="22.42578125" style="51" customWidth="1"/>
    <col min="13314" max="13314" width="7" style="51" customWidth="1"/>
    <col min="13315" max="13315" width="79.140625" style="51" customWidth="1"/>
    <col min="13316" max="13316" width="28" style="51" customWidth="1"/>
    <col min="13317" max="13317" width="27.42578125" style="51" customWidth="1"/>
    <col min="13318" max="13318" width="27.28515625" style="51" customWidth="1"/>
    <col min="13319" max="13568" width="9.140625" style="51"/>
    <col min="13569" max="13569" width="22.42578125" style="51" customWidth="1"/>
    <col min="13570" max="13570" width="7" style="51" customWidth="1"/>
    <col min="13571" max="13571" width="79.140625" style="51" customWidth="1"/>
    <col min="13572" max="13572" width="28" style="51" customWidth="1"/>
    <col min="13573" max="13573" width="27.42578125" style="51" customWidth="1"/>
    <col min="13574" max="13574" width="27.28515625" style="51" customWidth="1"/>
    <col min="13575" max="13824" width="9.140625" style="51"/>
    <col min="13825" max="13825" width="22.42578125" style="51" customWidth="1"/>
    <col min="13826" max="13826" width="7" style="51" customWidth="1"/>
    <col min="13827" max="13827" width="79.140625" style="51" customWidth="1"/>
    <col min="13828" max="13828" width="28" style="51" customWidth="1"/>
    <col min="13829" max="13829" width="27.42578125" style="51" customWidth="1"/>
    <col min="13830" max="13830" width="27.28515625" style="51" customWidth="1"/>
    <col min="13831" max="14080" width="9.140625" style="51"/>
    <col min="14081" max="14081" width="22.42578125" style="51" customWidth="1"/>
    <col min="14082" max="14082" width="7" style="51" customWidth="1"/>
    <col min="14083" max="14083" width="79.140625" style="51" customWidth="1"/>
    <col min="14084" max="14084" width="28" style="51" customWidth="1"/>
    <col min="14085" max="14085" width="27.42578125" style="51" customWidth="1"/>
    <col min="14086" max="14086" width="27.28515625" style="51" customWidth="1"/>
    <col min="14087" max="14336" width="9.140625" style="51"/>
    <col min="14337" max="14337" width="22.42578125" style="51" customWidth="1"/>
    <col min="14338" max="14338" width="7" style="51" customWidth="1"/>
    <col min="14339" max="14339" width="79.140625" style="51" customWidth="1"/>
    <col min="14340" max="14340" width="28" style="51" customWidth="1"/>
    <col min="14341" max="14341" width="27.42578125" style="51" customWidth="1"/>
    <col min="14342" max="14342" width="27.28515625" style="51" customWidth="1"/>
    <col min="14343" max="14592" width="9.140625" style="51"/>
    <col min="14593" max="14593" width="22.42578125" style="51" customWidth="1"/>
    <col min="14594" max="14594" width="7" style="51" customWidth="1"/>
    <col min="14595" max="14595" width="79.140625" style="51" customWidth="1"/>
    <col min="14596" max="14596" width="28" style="51" customWidth="1"/>
    <col min="14597" max="14597" width="27.42578125" style="51" customWidth="1"/>
    <col min="14598" max="14598" width="27.28515625" style="51" customWidth="1"/>
    <col min="14599" max="14848" width="9.140625" style="51"/>
    <col min="14849" max="14849" width="22.42578125" style="51" customWidth="1"/>
    <col min="14850" max="14850" width="7" style="51" customWidth="1"/>
    <col min="14851" max="14851" width="79.140625" style="51" customWidth="1"/>
    <col min="14852" max="14852" width="28" style="51" customWidth="1"/>
    <col min="14853" max="14853" width="27.42578125" style="51" customWidth="1"/>
    <col min="14854" max="14854" width="27.28515625" style="51" customWidth="1"/>
    <col min="14855" max="15104" width="9.140625" style="51"/>
    <col min="15105" max="15105" width="22.42578125" style="51" customWidth="1"/>
    <col min="15106" max="15106" width="7" style="51" customWidth="1"/>
    <col min="15107" max="15107" width="79.140625" style="51" customWidth="1"/>
    <col min="15108" max="15108" width="28" style="51" customWidth="1"/>
    <col min="15109" max="15109" width="27.42578125" style="51" customWidth="1"/>
    <col min="15110" max="15110" width="27.28515625" style="51" customWidth="1"/>
    <col min="15111" max="15360" width="9.140625" style="51"/>
    <col min="15361" max="15361" width="22.42578125" style="51" customWidth="1"/>
    <col min="15362" max="15362" width="7" style="51" customWidth="1"/>
    <col min="15363" max="15363" width="79.140625" style="51" customWidth="1"/>
    <col min="15364" max="15364" width="28" style="51" customWidth="1"/>
    <col min="15365" max="15365" width="27.42578125" style="51" customWidth="1"/>
    <col min="15366" max="15366" width="27.28515625" style="51" customWidth="1"/>
    <col min="15367" max="15616" width="9.140625" style="51"/>
    <col min="15617" max="15617" width="22.42578125" style="51" customWidth="1"/>
    <col min="15618" max="15618" width="7" style="51" customWidth="1"/>
    <col min="15619" max="15619" width="79.140625" style="51" customWidth="1"/>
    <col min="15620" max="15620" width="28" style="51" customWidth="1"/>
    <col min="15621" max="15621" width="27.42578125" style="51" customWidth="1"/>
    <col min="15622" max="15622" width="27.28515625" style="51" customWidth="1"/>
    <col min="15623" max="15872" width="9.140625" style="51"/>
    <col min="15873" max="15873" width="22.42578125" style="51" customWidth="1"/>
    <col min="15874" max="15874" width="7" style="51" customWidth="1"/>
    <col min="15875" max="15875" width="79.140625" style="51" customWidth="1"/>
    <col min="15876" max="15876" width="28" style="51" customWidth="1"/>
    <col min="15877" max="15877" width="27.42578125" style="51" customWidth="1"/>
    <col min="15878" max="15878" width="27.28515625" style="51" customWidth="1"/>
    <col min="15879" max="16128" width="9.140625" style="51"/>
    <col min="16129" max="16129" width="22.42578125" style="51" customWidth="1"/>
    <col min="16130" max="16130" width="7" style="51" customWidth="1"/>
    <col min="16131" max="16131" width="79.140625" style="51" customWidth="1"/>
    <col min="16132" max="16132" width="28" style="51" customWidth="1"/>
    <col min="16133" max="16133" width="27.42578125" style="51" customWidth="1"/>
    <col min="16134" max="16134" width="27.28515625" style="51" customWidth="1"/>
    <col min="16135" max="16384" width="9.140625" style="51"/>
  </cols>
  <sheetData>
    <row r="1" spans="1:6">
      <c r="A1" s="406" t="s">
        <v>341</v>
      </c>
      <c r="B1" s="406"/>
      <c r="C1" s="406"/>
      <c r="D1" s="406"/>
      <c r="E1" s="406"/>
      <c r="F1" s="406"/>
    </row>
    <row r="2" spans="1:6" ht="15.75" customHeight="1">
      <c r="A2" s="407" t="s">
        <v>512</v>
      </c>
      <c r="B2" s="407"/>
      <c r="C2" s="407"/>
      <c r="D2" s="407"/>
      <c r="E2" s="407"/>
      <c r="F2" s="407"/>
    </row>
    <row r="3" spans="1:6" ht="15.75">
      <c r="A3" s="408"/>
      <c r="B3" s="408"/>
      <c r="C3" s="408"/>
      <c r="D3" s="408"/>
      <c r="E3" s="408"/>
      <c r="F3" s="408"/>
    </row>
    <row r="4" spans="1:6" ht="15.75">
      <c r="A4" s="405" t="s">
        <v>342</v>
      </c>
      <c r="B4" s="405"/>
      <c r="C4" s="405"/>
      <c r="D4" s="405"/>
      <c r="E4" s="405"/>
      <c r="F4" s="405"/>
    </row>
    <row r="5" spans="1:6" ht="15.75">
      <c r="A5" s="405" t="s">
        <v>513</v>
      </c>
      <c r="B5" s="405"/>
      <c r="C5" s="405"/>
      <c r="D5" s="405"/>
      <c r="E5" s="405"/>
      <c r="F5" s="405"/>
    </row>
    <row r="6" spans="1:6" ht="15.75">
      <c r="A6" s="405" t="s">
        <v>514</v>
      </c>
      <c r="B6" s="405"/>
      <c r="C6" s="405"/>
      <c r="D6" s="405"/>
      <c r="E6" s="405"/>
      <c r="F6" s="405"/>
    </row>
    <row r="7" spans="1:6" ht="15.75">
      <c r="A7" s="84"/>
      <c r="B7" s="84"/>
      <c r="C7" s="84"/>
    </row>
    <row r="8" spans="1:6" ht="15.75">
      <c r="A8" s="287" t="s">
        <v>515</v>
      </c>
      <c r="B8" s="287" t="s">
        <v>308</v>
      </c>
      <c r="C8" s="287" t="s">
        <v>343</v>
      </c>
      <c r="D8" s="329">
        <v>2020</v>
      </c>
      <c r="E8" s="329">
        <v>2021</v>
      </c>
      <c r="F8" s="329">
        <v>2022</v>
      </c>
    </row>
    <row r="9" spans="1:6" ht="15.75">
      <c r="A9" s="409" t="s">
        <v>516</v>
      </c>
      <c r="B9" s="287">
        <v>1</v>
      </c>
      <c r="C9" s="85" t="s">
        <v>517</v>
      </c>
      <c r="D9" s="330" t="s">
        <v>518</v>
      </c>
      <c r="E9" s="331" t="s">
        <v>519</v>
      </c>
      <c r="F9" s="331"/>
    </row>
    <row r="10" spans="1:6" ht="31.5">
      <c r="A10" s="409"/>
      <c r="B10" s="287">
        <v>2</v>
      </c>
      <c r="C10" s="86" t="s">
        <v>352</v>
      </c>
      <c r="D10" s="330" t="s">
        <v>520</v>
      </c>
      <c r="E10" s="330" t="s">
        <v>521</v>
      </c>
      <c r="F10" s="330" t="s">
        <v>522</v>
      </c>
    </row>
    <row r="11" spans="1:6" ht="31.5">
      <c r="A11" s="409"/>
      <c r="B11" s="287">
        <v>3</v>
      </c>
      <c r="C11" s="86" t="s">
        <v>353</v>
      </c>
      <c r="D11" s="329" t="s">
        <v>523</v>
      </c>
      <c r="E11" s="332" t="s">
        <v>524</v>
      </c>
      <c r="F11" s="329" t="s">
        <v>525</v>
      </c>
    </row>
    <row r="12" spans="1:6" ht="49.5" customHeight="1">
      <c r="A12" s="409"/>
      <c r="B12" s="287">
        <v>4</v>
      </c>
      <c r="C12" s="86" t="s">
        <v>526</v>
      </c>
      <c r="D12" s="330" t="s">
        <v>527</v>
      </c>
      <c r="E12" s="333" t="s">
        <v>528</v>
      </c>
      <c r="F12" s="331" t="s">
        <v>529</v>
      </c>
    </row>
    <row r="13" spans="1:6" ht="31.5">
      <c r="A13" s="409"/>
      <c r="B13" s="287">
        <v>5</v>
      </c>
      <c r="C13" s="86" t="s">
        <v>530</v>
      </c>
      <c r="D13" s="334" t="s">
        <v>531</v>
      </c>
      <c r="E13" s="332" t="s">
        <v>532</v>
      </c>
      <c r="F13" s="332" t="s">
        <v>533</v>
      </c>
    </row>
    <row r="14" spans="1:6" ht="47.25">
      <c r="A14" s="409"/>
      <c r="B14" s="287">
        <v>6</v>
      </c>
      <c r="C14" s="86" t="s">
        <v>534</v>
      </c>
      <c r="D14" s="335" t="s">
        <v>535</v>
      </c>
      <c r="E14" s="335" t="s">
        <v>536</v>
      </c>
      <c r="F14" s="335" t="s">
        <v>537</v>
      </c>
    </row>
    <row r="15" spans="1:6" ht="63">
      <c r="A15" s="409"/>
      <c r="B15" s="287">
        <v>7</v>
      </c>
      <c r="C15" s="86" t="s">
        <v>538</v>
      </c>
      <c r="D15" s="330" t="s">
        <v>539</v>
      </c>
      <c r="E15" s="331" t="s">
        <v>540</v>
      </c>
      <c r="F15" s="331"/>
    </row>
    <row r="16" spans="1:6" ht="15.75">
      <c r="A16" s="409"/>
      <c r="B16" s="287">
        <v>8</v>
      </c>
      <c r="C16" s="86" t="s">
        <v>354</v>
      </c>
      <c r="D16" s="336" t="s">
        <v>541</v>
      </c>
      <c r="E16" s="336" t="s">
        <v>542</v>
      </c>
      <c r="F16" s="336" t="s">
        <v>543</v>
      </c>
    </row>
    <row r="17" spans="1:6" ht="15.75">
      <c r="A17" s="409"/>
      <c r="B17" s="287">
        <v>9</v>
      </c>
      <c r="C17" s="86" t="s">
        <v>355</v>
      </c>
      <c r="D17" s="330" t="s">
        <v>518</v>
      </c>
      <c r="E17" s="331" t="s">
        <v>519</v>
      </c>
      <c r="F17" s="331" t="s">
        <v>519</v>
      </c>
    </row>
    <row r="18" spans="1:6" ht="31.5">
      <c r="A18" s="409"/>
      <c r="B18" s="287">
        <v>10</v>
      </c>
      <c r="C18" s="86" t="s">
        <v>544</v>
      </c>
      <c r="D18" s="330" t="s">
        <v>545</v>
      </c>
      <c r="E18" s="329"/>
      <c r="F18" s="329"/>
    </row>
    <row r="19" spans="1:6" ht="15.75">
      <c r="A19" s="409"/>
      <c r="B19" s="287">
        <v>11</v>
      </c>
      <c r="C19" s="86" t="s">
        <v>546</v>
      </c>
      <c r="D19" s="331" t="s">
        <v>519</v>
      </c>
      <c r="E19" s="330"/>
      <c r="F19" s="331"/>
    </row>
    <row r="20" spans="1:6" ht="15.75">
      <c r="A20" s="409"/>
      <c r="B20" s="287">
        <v>12</v>
      </c>
      <c r="C20" s="86" t="s">
        <v>547</v>
      </c>
      <c r="D20" s="330" t="s">
        <v>548</v>
      </c>
      <c r="E20" s="329" t="s">
        <v>549</v>
      </c>
      <c r="F20" s="329" t="s">
        <v>550</v>
      </c>
    </row>
    <row r="21" spans="1:6" ht="18.75">
      <c r="A21" s="409"/>
      <c r="B21" s="287">
        <v>13</v>
      </c>
      <c r="C21" s="86" t="s">
        <v>356</v>
      </c>
      <c r="D21" s="330" t="s">
        <v>518</v>
      </c>
      <c r="E21" s="337">
        <v>0.3</v>
      </c>
      <c r="F21" s="337">
        <v>0.7</v>
      </c>
    </row>
    <row r="22" spans="1:6" ht="15.75">
      <c r="A22" s="409"/>
      <c r="B22" s="287">
        <v>14</v>
      </c>
      <c r="C22" s="86" t="s">
        <v>551</v>
      </c>
      <c r="D22" s="330" t="s">
        <v>518</v>
      </c>
      <c r="E22" s="331" t="s">
        <v>519</v>
      </c>
      <c r="F22" s="329"/>
    </row>
    <row r="23" spans="1:6" ht="15.75">
      <c r="A23" s="409"/>
      <c r="B23" s="287">
        <v>15</v>
      </c>
      <c r="C23" s="86" t="s">
        <v>357</v>
      </c>
      <c r="D23" s="330" t="s">
        <v>518</v>
      </c>
      <c r="E23" s="331" t="s">
        <v>519</v>
      </c>
      <c r="F23" s="332" t="s">
        <v>552</v>
      </c>
    </row>
    <row r="24" spans="1:6" ht="15.75">
      <c r="A24" s="409"/>
      <c r="B24" s="287">
        <v>16</v>
      </c>
      <c r="C24" s="86" t="s">
        <v>553</v>
      </c>
      <c r="D24" s="330" t="s">
        <v>518</v>
      </c>
      <c r="E24" s="331" t="s">
        <v>519</v>
      </c>
      <c r="F24" s="331" t="s">
        <v>519</v>
      </c>
    </row>
    <row r="25" spans="1:6" ht="15.75">
      <c r="A25" s="409"/>
      <c r="B25" s="287">
        <v>17</v>
      </c>
      <c r="C25" s="86" t="s">
        <v>448</v>
      </c>
      <c r="D25" s="330"/>
      <c r="E25" s="331" t="s">
        <v>519</v>
      </c>
      <c r="F25" s="331" t="s">
        <v>519</v>
      </c>
    </row>
    <row r="26" spans="1:6" ht="15.75">
      <c r="A26" s="409" t="s">
        <v>554</v>
      </c>
      <c r="B26" s="287">
        <v>1</v>
      </c>
      <c r="C26" s="86" t="s">
        <v>353</v>
      </c>
      <c r="D26" s="331" t="s">
        <v>555</v>
      </c>
      <c r="E26" s="331" t="s">
        <v>556</v>
      </c>
      <c r="F26" s="331" t="s">
        <v>557</v>
      </c>
    </row>
    <row r="27" spans="1:6" ht="15.75">
      <c r="A27" s="409"/>
      <c r="B27" s="287">
        <v>2</v>
      </c>
      <c r="C27" s="86" t="s">
        <v>352</v>
      </c>
      <c r="D27" s="331" t="s">
        <v>558</v>
      </c>
      <c r="E27" s="331"/>
      <c r="F27" s="331"/>
    </row>
    <row r="28" spans="1:6" ht="15.75">
      <c r="A28" s="409"/>
      <c r="B28" s="287">
        <v>3</v>
      </c>
      <c r="C28" s="86" t="s">
        <v>358</v>
      </c>
      <c r="D28" s="330" t="s">
        <v>518</v>
      </c>
      <c r="E28" s="329"/>
      <c r="F28" s="331" t="s">
        <v>519</v>
      </c>
    </row>
    <row r="29" spans="1:6" ht="15.75">
      <c r="A29" s="409"/>
      <c r="B29" s="287">
        <v>4</v>
      </c>
      <c r="C29" s="86" t="s">
        <v>359</v>
      </c>
      <c r="D29" s="330" t="s">
        <v>518</v>
      </c>
      <c r="E29" s="331" t="s">
        <v>519</v>
      </c>
      <c r="F29" s="331"/>
    </row>
    <row r="30" spans="1:6" ht="15.75">
      <c r="A30" s="409"/>
      <c r="B30" s="287">
        <v>5</v>
      </c>
      <c r="C30" s="264" t="s">
        <v>449</v>
      </c>
      <c r="D30" s="332">
        <v>2</v>
      </c>
      <c r="E30" s="329">
        <v>3</v>
      </c>
      <c r="F30" s="329">
        <v>3</v>
      </c>
    </row>
    <row r="31" spans="1:6" ht="15.75">
      <c r="A31" s="409" t="s">
        <v>559</v>
      </c>
      <c r="B31" s="287">
        <v>1</v>
      </c>
      <c r="C31" s="87" t="s">
        <v>353</v>
      </c>
      <c r="D31" s="330" t="s">
        <v>560</v>
      </c>
      <c r="E31" s="331" t="s">
        <v>561</v>
      </c>
      <c r="F31" s="331" t="s">
        <v>562</v>
      </c>
    </row>
    <row r="32" spans="1:6" ht="31.5">
      <c r="A32" s="409"/>
      <c r="B32" s="287">
        <v>2</v>
      </c>
      <c r="C32" s="87" t="s">
        <v>563</v>
      </c>
      <c r="D32" s="330" t="s">
        <v>564</v>
      </c>
      <c r="E32" s="331" t="s">
        <v>519</v>
      </c>
      <c r="F32" s="330"/>
    </row>
    <row r="33" spans="1:6" ht="15.75">
      <c r="A33" s="409"/>
      <c r="B33" s="287">
        <v>4</v>
      </c>
      <c r="C33" s="87" t="s">
        <v>450</v>
      </c>
      <c r="D33" s="330"/>
      <c r="E33" s="330" t="s">
        <v>518</v>
      </c>
      <c r="F33" s="331" t="s">
        <v>519</v>
      </c>
    </row>
    <row r="34" spans="1:6" ht="15.75">
      <c r="A34" s="409"/>
      <c r="B34" s="287">
        <v>5</v>
      </c>
      <c r="C34" s="87" t="s">
        <v>362</v>
      </c>
      <c r="D34" s="330"/>
      <c r="E34" s="330" t="s">
        <v>518</v>
      </c>
      <c r="F34" s="331" t="s">
        <v>519</v>
      </c>
    </row>
    <row r="35" spans="1:6" ht="18.75">
      <c r="A35" s="409"/>
      <c r="B35" s="287">
        <v>6</v>
      </c>
      <c r="C35" s="87" t="s">
        <v>363</v>
      </c>
      <c r="D35" s="330"/>
      <c r="E35" s="330" t="s">
        <v>518</v>
      </c>
      <c r="F35" s="331" t="s">
        <v>519</v>
      </c>
    </row>
    <row r="36" spans="1:6" ht="15.75">
      <c r="A36" s="409"/>
      <c r="B36" s="287">
        <v>7</v>
      </c>
      <c r="C36" s="87" t="s">
        <v>364</v>
      </c>
      <c r="D36" s="330" t="s">
        <v>518</v>
      </c>
      <c r="E36" s="331" t="s">
        <v>519</v>
      </c>
      <c r="F36" s="331"/>
    </row>
    <row r="37" spans="1:6" ht="15.75">
      <c r="A37" s="409"/>
      <c r="B37" s="287">
        <v>8</v>
      </c>
      <c r="C37" s="87" t="s">
        <v>449</v>
      </c>
      <c r="D37" s="332">
        <v>1</v>
      </c>
      <c r="E37" s="329">
        <v>2</v>
      </c>
      <c r="F37" s="329">
        <v>3</v>
      </c>
    </row>
    <row r="38" spans="1:6" ht="15.75">
      <c r="A38" s="409" t="s">
        <v>565</v>
      </c>
      <c r="B38" s="287">
        <v>1</v>
      </c>
      <c r="C38" s="86" t="s">
        <v>451</v>
      </c>
      <c r="D38" s="330" t="s">
        <v>545</v>
      </c>
      <c r="E38" s="331"/>
      <c r="F38" s="331"/>
    </row>
    <row r="39" spans="1:6" ht="18.75">
      <c r="A39" s="409"/>
      <c r="B39" s="287">
        <v>2</v>
      </c>
      <c r="C39" s="86" t="s">
        <v>365</v>
      </c>
      <c r="D39" s="330" t="s">
        <v>545</v>
      </c>
      <c r="E39" s="331"/>
      <c r="F39" s="331"/>
    </row>
    <row r="40" spans="1:6" ht="31.5">
      <c r="A40" s="409"/>
      <c r="B40" s="287">
        <v>3</v>
      </c>
      <c r="C40" s="86" t="s">
        <v>452</v>
      </c>
      <c r="D40" s="330" t="s">
        <v>566</v>
      </c>
      <c r="E40" s="331"/>
      <c r="F40" s="331"/>
    </row>
    <row r="41" spans="1:6" ht="15.75">
      <c r="A41" s="409"/>
      <c r="B41" s="287">
        <v>4</v>
      </c>
      <c r="C41" s="86" t="s">
        <v>367</v>
      </c>
      <c r="D41" s="330" t="s">
        <v>518</v>
      </c>
      <c r="E41" s="331" t="s">
        <v>519</v>
      </c>
      <c r="F41" s="331"/>
    </row>
    <row r="42" spans="1:6" ht="63">
      <c r="A42" s="409"/>
      <c r="B42" s="287">
        <v>5</v>
      </c>
      <c r="C42" s="86" t="s">
        <v>567</v>
      </c>
      <c r="D42" s="330" t="s">
        <v>568</v>
      </c>
      <c r="E42" s="330"/>
      <c r="F42" s="331"/>
    </row>
    <row r="43" spans="1:6" ht="15.75">
      <c r="A43" s="409"/>
      <c r="B43" s="287">
        <v>6</v>
      </c>
      <c r="C43" s="86" t="s">
        <v>569</v>
      </c>
      <c r="D43" s="330" t="s">
        <v>545</v>
      </c>
      <c r="E43" s="330"/>
      <c r="F43" s="330"/>
    </row>
    <row r="44" spans="1:6" ht="31.5">
      <c r="A44" s="409"/>
      <c r="B44" s="287">
        <v>7</v>
      </c>
      <c r="C44" s="86" t="s">
        <v>570</v>
      </c>
      <c r="D44" s="330" t="s">
        <v>545</v>
      </c>
      <c r="E44" s="330"/>
      <c r="F44" s="338"/>
    </row>
    <row r="45" spans="1:6" ht="15.75">
      <c r="A45" s="409"/>
      <c r="B45" s="287">
        <v>8</v>
      </c>
      <c r="C45" s="86" t="s">
        <v>571</v>
      </c>
      <c r="D45" s="330" t="s">
        <v>572</v>
      </c>
      <c r="E45" s="330" t="s">
        <v>572</v>
      </c>
      <c r="F45" s="331" t="s">
        <v>573</v>
      </c>
    </row>
    <row r="46" spans="1:6" ht="18.75">
      <c r="A46" s="409"/>
      <c r="B46" s="287">
        <v>9</v>
      </c>
      <c r="C46" s="86" t="s">
        <v>368</v>
      </c>
      <c r="D46" s="330" t="s">
        <v>518</v>
      </c>
      <c r="E46" s="331" t="s">
        <v>519</v>
      </c>
      <c r="F46" s="331" t="s">
        <v>519</v>
      </c>
    </row>
    <row r="47" spans="1:6" ht="15.75">
      <c r="A47" s="409"/>
      <c r="B47" s="287">
        <v>10</v>
      </c>
      <c r="C47" s="86" t="s">
        <v>453</v>
      </c>
      <c r="D47" s="330"/>
      <c r="E47" s="330" t="s">
        <v>518</v>
      </c>
      <c r="F47" s="331" t="s">
        <v>519</v>
      </c>
    </row>
    <row r="48" spans="1:6" ht="47.25">
      <c r="A48" s="409"/>
      <c r="B48" s="287">
        <v>11</v>
      </c>
      <c r="C48" s="86" t="s">
        <v>574</v>
      </c>
      <c r="D48" s="332" t="s">
        <v>575</v>
      </c>
      <c r="E48" s="330" t="s">
        <v>576</v>
      </c>
      <c r="F48" s="330" t="s">
        <v>577</v>
      </c>
    </row>
    <row r="49" spans="1:6" ht="31.5">
      <c r="A49" s="409"/>
      <c r="B49" s="287">
        <v>12</v>
      </c>
      <c r="C49" s="86" t="s">
        <v>454</v>
      </c>
      <c r="D49" s="332" t="s">
        <v>578</v>
      </c>
      <c r="E49" s="331"/>
      <c r="F49" s="331"/>
    </row>
    <row r="50" spans="1:6" ht="15.75">
      <c r="A50" s="409"/>
      <c r="B50" s="287">
        <v>13</v>
      </c>
      <c r="C50" s="86" t="s">
        <v>449</v>
      </c>
      <c r="D50" s="332">
        <v>5</v>
      </c>
      <c r="E50" s="329">
        <v>3</v>
      </c>
      <c r="F50" s="329">
        <v>6</v>
      </c>
    </row>
    <row r="51" spans="1:6" ht="15.75">
      <c r="A51" s="409" t="s">
        <v>579</v>
      </c>
      <c r="B51" s="287">
        <v>1</v>
      </c>
      <c r="C51" s="87" t="s">
        <v>369</v>
      </c>
      <c r="D51" s="330" t="s">
        <v>545</v>
      </c>
      <c r="E51" s="331"/>
      <c r="F51" s="331"/>
    </row>
    <row r="52" spans="1:6" ht="15.75">
      <c r="A52" s="409"/>
      <c r="B52" s="287">
        <v>2</v>
      </c>
      <c r="C52" s="87" t="s">
        <v>580</v>
      </c>
      <c r="D52" s="330" t="s">
        <v>545</v>
      </c>
      <c r="E52" s="330"/>
      <c r="F52" s="330"/>
    </row>
    <row r="53" spans="1:6" ht="15.75">
      <c r="A53" s="409"/>
      <c r="B53" s="287">
        <v>3</v>
      </c>
      <c r="C53" s="87" t="s">
        <v>581</v>
      </c>
      <c r="D53" s="331" t="s">
        <v>519</v>
      </c>
      <c r="E53" s="330"/>
      <c r="F53" s="330"/>
    </row>
    <row r="54" spans="1:6" ht="18.75">
      <c r="A54" s="409"/>
      <c r="B54" s="287">
        <v>4</v>
      </c>
      <c r="C54" s="87" t="s">
        <v>361</v>
      </c>
      <c r="D54" s="330"/>
      <c r="E54" s="330" t="s">
        <v>518</v>
      </c>
      <c r="F54" s="338"/>
    </row>
    <row r="55" spans="1:6" ht="31.5">
      <c r="A55" s="409"/>
      <c r="B55" s="287">
        <v>5</v>
      </c>
      <c r="C55" s="87" t="s">
        <v>582</v>
      </c>
      <c r="D55" s="330" t="s">
        <v>583</v>
      </c>
      <c r="E55" s="330" t="s">
        <v>583</v>
      </c>
      <c r="F55" s="330" t="s">
        <v>583</v>
      </c>
    </row>
    <row r="56" spans="1:6" ht="15.75">
      <c r="A56" s="409"/>
      <c r="B56" s="287">
        <v>6</v>
      </c>
      <c r="C56" s="87" t="s">
        <v>584</v>
      </c>
      <c r="D56" s="330" t="s">
        <v>518</v>
      </c>
      <c r="E56" s="331" t="s">
        <v>519</v>
      </c>
      <c r="F56" s="330"/>
    </row>
    <row r="57" spans="1:6" ht="15.75">
      <c r="A57" s="409"/>
      <c r="B57" s="287">
        <v>7</v>
      </c>
      <c r="C57" s="87" t="s">
        <v>585</v>
      </c>
      <c r="D57" s="330" t="s">
        <v>518</v>
      </c>
      <c r="E57" s="331" t="s">
        <v>519</v>
      </c>
      <c r="F57" s="330"/>
    </row>
    <row r="58" spans="1:6" ht="15.75">
      <c r="A58" s="409"/>
      <c r="B58" s="287">
        <v>8</v>
      </c>
      <c r="C58" s="87" t="s">
        <v>586</v>
      </c>
      <c r="D58" s="330" t="s">
        <v>518</v>
      </c>
      <c r="E58" s="331" t="s">
        <v>519</v>
      </c>
      <c r="F58" s="331" t="s">
        <v>519</v>
      </c>
    </row>
    <row r="59" spans="1:6" ht="15.75">
      <c r="A59" s="409" t="s">
        <v>587</v>
      </c>
      <c r="B59" s="287">
        <v>1</v>
      </c>
      <c r="C59" s="87" t="s">
        <v>370</v>
      </c>
      <c r="D59" s="330" t="s">
        <v>518</v>
      </c>
      <c r="E59" s="338"/>
      <c r="F59" s="331"/>
    </row>
    <row r="60" spans="1:6" ht="15.75">
      <c r="A60" s="409"/>
      <c r="B60" s="287">
        <v>2</v>
      </c>
      <c r="C60" s="87" t="s">
        <v>588</v>
      </c>
      <c r="D60" s="330" t="s">
        <v>518</v>
      </c>
      <c r="E60" s="331"/>
      <c r="F60" s="331"/>
    </row>
    <row r="61" spans="1:6" ht="15.75">
      <c r="A61" s="409"/>
      <c r="B61" s="287">
        <v>3</v>
      </c>
      <c r="C61" s="87" t="s">
        <v>371</v>
      </c>
      <c r="D61" s="330" t="s">
        <v>518</v>
      </c>
      <c r="E61" s="331" t="s">
        <v>519</v>
      </c>
      <c r="F61" s="331"/>
    </row>
    <row r="62" spans="1:6" ht="15.75">
      <c r="A62" s="409"/>
      <c r="B62" s="287">
        <v>4</v>
      </c>
      <c r="C62" s="87" t="s">
        <v>360</v>
      </c>
      <c r="D62" s="330" t="s">
        <v>518</v>
      </c>
      <c r="E62" s="331" t="s">
        <v>519</v>
      </c>
      <c r="F62" s="331"/>
    </row>
    <row r="63" spans="1:6" ht="31.5">
      <c r="A63" s="409"/>
      <c r="B63" s="287">
        <v>5</v>
      </c>
      <c r="C63" s="87" t="s">
        <v>589</v>
      </c>
      <c r="D63" s="330" t="s">
        <v>583</v>
      </c>
      <c r="E63" s="330" t="s">
        <v>583</v>
      </c>
      <c r="F63" s="330" t="s">
        <v>583</v>
      </c>
    </row>
    <row r="64" spans="1:6" ht="31.5">
      <c r="A64" s="409" t="s">
        <v>590</v>
      </c>
      <c r="B64" s="287">
        <v>1</v>
      </c>
      <c r="C64" s="87" t="s">
        <v>366</v>
      </c>
      <c r="D64" s="332" t="s">
        <v>591</v>
      </c>
      <c r="E64" s="329" t="s">
        <v>592</v>
      </c>
      <c r="F64" s="332" t="s">
        <v>593</v>
      </c>
    </row>
    <row r="65" spans="1:6" ht="15.75">
      <c r="A65" s="409"/>
      <c r="B65" s="287">
        <v>2</v>
      </c>
      <c r="C65" s="87" t="s">
        <v>372</v>
      </c>
      <c r="D65" s="330"/>
      <c r="E65" s="330" t="s">
        <v>518</v>
      </c>
      <c r="F65" s="331" t="s">
        <v>594</v>
      </c>
    </row>
    <row r="66" spans="1:6" ht="31.5">
      <c r="A66" s="409"/>
      <c r="B66" s="287">
        <v>3</v>
      </c>
      <c r="C66" s="87" t="s">
        <v>595</v>
      </c>
      <c r="D66" s="330" t="s">
        <v>564</v>
      </c>
      <c r="E66" s="331" t="s">
        <v>594</v>
      </c>
      <c r="F66" s="331"/>
    </row>
    <row r="67" spans="1:6" ht="15.75">
      <c r="A67" s="409"/>
      <c r="B67" s="287">
        <v>4</v>
      </c>
      <c r="C67" s="87" t="s">
        <v>373</v>
      </c>
      <c r="D67" s="330" t="s">
        <v>518</v>
      </c>
      <c r="E67" s="331" t="s">
        <v>594</v>
      </c>
      <c r="F67" s="331"/>
    </row>
    <row r="68" spans="1:6" ht="15.75">
      <c r="A68" s="409"/>
      <c r="B68" s="287">
        <v>5</v>
      </c>
      <c r="C68" s="264" t="s">
        <v>449</v>
      </c>
      <c r="D68" s="334">
        <v>1</v>
      </c>
      <c r="E68" s="334">
        <v>1</v>
      </c>
      <c r="F68" s="334">
        <v>1</v>
      </c>
    </row>
    <row r="70" spans="1:6" ht="15.75">
      <c r="B70" s="51" t="s">
        <v>519</v>
      </c>
      <c r="C70" s="339" t="s">
        <v>596</v>
      </c>
    </row>
    <row r="71" spans="1:6" ht="15.75">
      <c r="B71" s="51" t="s">
        <v>518</v>
      </c>
      <c r="C71" s="339" t="s">
        <v>597</v>
      </c>
    </row>
  </sheetData>
  <mergeCells count="13">
    <mergeCell ref="A64:A68"/>
    <mergeCell ref="A9:A25"/>
    <mergeCell ref="A26:A30"/>
    <mergeCell ref="A31:A37"/>
    <mergeCell ref="A38:A50"/>
    <mergeCell ref="A51:A58"/>
    <mergeCell ref="A59:A63"/>
    <mergeCell ref="A6:F6"/>
    <mergeCell ref="A1:F1"/>
    <mergeCell ref="A2:F2"/>
    <mergeCell ref="A3:F3"/>
    <mergeCell ref="A4:F4"/>
    <mergeCell ref="A5:F5"/>
  </mergeCells>
  <pageMargins left="0.70866141732283472" right="0.31496062992125984" top="0.15748031496062992" bottom="0.35433070866141736" header="0" footer="0"/>
  <pageSetup paperSize="9" scale="71" fitToHeight="2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2020-2022</vt:lpstr>
      <vt:lpstr>№ 1 производ. продукции</vt:lpstr>
      <vt:lpstr>№ 2 Хлеб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2020-2022'!Область_печати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2019-12-25T05:02:50Z</dcterms:modified>
</cp:coreProperties>
</file>