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ходы" sheetId="1" r:id="rId1"/>
    <sheet name="расходы" sheetId="2" r:id="rId2"/>
    <sheet name="ИФДБ" sheetId="3" r:id="rId3"/>
  </sheets>
  <definedNames>
    <definedName name="_xlnm.Print_Area" localSheetId="1">'расходы'!$A$3:$H$533</definedName>
  </definedNames>
  <calcPr fullCalcOnLoad="1"/>
</workbook>
</file>

<file path=xl/sharedStrings.xml><?xml version="1.0" encoding="utf-8"?>
<sst xmlns="http://schemas.openxmlformats.org/spreadsheetml/2006/main" count="2638" uniqueCount="1283">
  <si>
    <t>Обеспечение населения городского округа Нижняя Салда питьевой водой стандартного качества</t>
  </si>
  <si>
    <t>239</t>
  </si>
  <si>
    <t>0332309</t>
  </si>
  <si>
    <t>Улучшение санитарного состояния территории городского округа Нижняя Салда</t>
  </si>
  <si>
    <t>241</t>
  </si>
  <si>
    <t>242</t>
  </si>
  <si>
    <t>0332310</t>
  </si>
  <si>
    <t>Мероприятия по обеспечению бытовыми услугами (городская баня)</t>
  </si>
  <si>
    <t>243</t>
  </si>
  <si>
    <t>0332311</t>
  </si>
  <si>
    <t>245</t>
  </si>
  <si>
    <t>246</t>
  </si>
  <si>
    <t>247</t>
  </si>
  <si>
    <t xml:space="preserve">Исполнение судебных актов
</t>
  </si>
  <si>
    <t>248</t>
  </si>
  <si>
    <t>0340000</t>
  </si>
  <si>
    <t>Подпрограмма Восстановление и развитие объектов внешнего благоустройства в городском округе Нижняя Салда на 2014-2020 годы</t>
  </si>
  <si>
    <t>249</t>
  </si>
  <si>
    <t>0342301</t>
  </si>
  <si>
    <t>Реконструкция и капитальный ремонт дворовых территорий</t>
  </si>
  <si>
    <t>250</t>
  </si>
  <si>
    <t>251</t>
  </si>
  <si>
    <t>0342302</t>
  </si>
  <si>
    <t>Содержание объектов благоустройства (малые архитектурные формы)</t>
  </si>
  <si>
    <t>252</t>
  </si>
  <si>
    <t>253</t>
  </si>
  <si>
    <t>254</t>
  </si>
  <si>
    <t>0342303</t>
  </si>
  <si>
    <t>Разработка проектно-сметной документации для проведения работ по благоустройству городского округа Нижняя Салда</t>
  </si>
  <si>
    <t>255</t>
  </si>
  <si>
    <t>256</t>
  </si>
  <si>
    <t>0342304</t>
  </si>
  <si>
    <t>257</t>
  </si>
  <si>
    <t>258</t>
  </si>
  <si>
    <t>0505</t>
  </si>
  <si>
    <t>Другие вопросы в области жилищно-коммунального хозяйства</t>
  </si>
  <si>
    <t>259</t>
  </si>
  <si>
    <t>260</t>
  </si>
  <si>
    <t>0350000</t>
  </si>
  <si>
    <t>Подпрограмма Комплексное развитие коммунальной инфраструктуры городского округа Нижняя Салда на 2014 – 2020 годы</t>
  </si>
  <si>
    <t>261</t>
  </si>
  <si>
    <t>0352301</t>
  </si>
  <si>
    <t xml:space="preserve"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 </t>
  </si>
  <si>
    <t>262</t>
  </si>
  <si>
    <t>263</t>
  </si>
  <si>
    <t>0352303</t>
  </si>
  <si>
    <t>264</t>
  </si>
  <si>
    <t>265</t>
  </si>
  <si>
    <t>0352305</t>
  </si>
  <si>
    <t>Актуализация программы комплексного развития коммунальной инфраструктуры городского округа Нижняя Салда</t>
  </si>
  <si>
    <t>266</t>
  </si>
  <si>
    <t>267</t>
  </si>
  <si>
    <t>0600</t>
  </si>
  <si>
    <t>Охрана окружающей среды</t>
  </si>
  <si>
    <t>268</t>
  </si>
  <si>
    <t>0605</t>
  </si>
  <si>
    <t>Другие вопросы в области охраны окружающей среды</t>
  </si>
  <si>
    <t>269</t>
  </si>
  <si>
    <t>270</t>
  </si>
  <si>
    <t>1310000</t>
  </si>
  <si>
    <t>Подпрограмма Экологическая безопасность городского округа Нижняя Салда</t>
  </si>
  <si>
    <t>271</t>
  </si>
  <si>
    <t>1312201</t>
  </si>
  <si>
    <t>Мероприятия по исследованию и обустройству источников нецентрализованного водоснабжения</t>
  </si>
  <si>
    <t>272</t>
  </si>
  <si>
    <t>273</t>
  </si>
  <si>
    <t>1312202</t>
  </si>
  <si>
    <t>Участие в ежегодном областном съезде по итогам реализации мероприятий по использованию, охране и  обустройству источников нецентрализованного водоснабжения на территории Свердловской области ("Родники")</t>
  </si>
  <si>
    <t>274</t>
  </si>
  <si>
    <t>275</t>
  </si>
  <si>
    <t>1312205</t>
  </si>
  <si>
    <t>Сбор, транспортировка и обезвреживание ртутьсодержащих ламп от населения частного сектора</t>
  </si>
  <si>
    <t>276</t>
  </si>
  <si>
    <t>277</t>
  </si>
  <si>
    <t>1312207</t>
  </si>
  <si>
    <t>Организация и проведение массовых экологических акций</t>
  </si>
  <si>
    <t>278</t>
  </si>
  <si>
    <t>279</t>
  </si>
  <si>
    <t>1312208</t>
  </si>
  <si>
    <t>Финансирование экспозиции "Диорама природы родного края"</t>
  </si>
  <si>
    <t>280</t>
  </si>
  <si>
    <t>281</t>
  </si>
  <si>
    <t>1312209</t>
  </si>
  <si>
    <t>282</t>
  </si>
  <si>
    <t>283</t>
  </si>
  <si>
    <t>0700</t>
  </si>
  <si>
    <t>Образование</t>
  </si>
  <si>
    <t>284</t>
  </si>
  <si>
    <t>0701</t>
  </si>
  <si>
    <t>Дошкольное образование</t>
  </si>
  <si>
    <t>285</t>
  </si>
  <si>
    <t>0800000</t>
  </si>
  <si>
    <t>Муниципальная программа "Развитие системы образования в городском округе Нижняя Салда на 2014-2020 годы"</t>
  </si>
  <si>
    <t>286</t>
  </si>
  <si>
    <t>0810000</t>
  </si>
  <si>
    <t>Подпрограмма «Развитие системы дошкольного образования в городском округе Нижняя Салда»</t>
  </si>
  <si>
    <t>287</t>
  </si>
  <si>
    <t>0812501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</si>
  <si>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</si>
  <si>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288</t>
  </si>
  <si>
    <t>289</t>
  </si>
  <si>
    <t>620</t>
  </si>
  <si>
    <t>Субсидии автономным учреждениям</t>
  </si>
  <si>
    <t>290</t>
  </si>
  <si>
    <t>0812502</t>
  </si>
  <si>
    <t>291</t>
  </si>
  <si>
    <t>292</t>
  </si>
  <si>
    <t>293</t>
  </si>
  <si>
    <t>0814510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</si>
  <si>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</si>
  <si>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294</t>
  </si>
  <si>
    <t>0814511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</si>
  <si>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</t>
  </si>
  <si>
    <t>295</t>
  </si>
  <si>
    <t>296</t>
  </si>
  <si>
    <t>297</t>
  </si>
  <si>
    <t>0814512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</si>
  <si>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</t>
  </si>
  <si>
    <t>298</t>
  </si>
  <si>
    <t>299</t>
  </si>
  <si>
    <t>300</t>
  </si>
  <si>
    <t>0840000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</si>
  <si>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</si>
  <si>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301</t>
  </si>
  <si>
    <t>0842503</t>
  </si>
  <si>
    <t>Строительство зданий дошкольных образовательных организаций</t>
  </si>
  <si>
    <t>302</t>
  </si>
  <si>
    <t>410</t>
  </si>
  <si>
    <t>Бюджетные инвестиции</t>
  </si>
  <si>
    <t>303</t>
  </si>
  <si>
    <t>0842504</t>
  </si>
  <si>
    <t>Расходы, связанные с обязательствами по строительству и реконструкции зданий дошкольных образовательных организаций</t>
  </si>
  <si>
    <t>304</t>
  </si>
  <si>
    <t>305</t>
  </si>
  <si>
    <t>306</t>
  </si>
  <si>
    <t>08445Б0</t>
  </si>
  <si>
    <t>Строительство и реконструкция зданий дошкольных образовательных организаций</t>
  </si>
  <si>
    <t>307</t>
  </si>
  <si>
    <t>308</t>
  </si>
  <si>
    <t>8004070</t>
  </si>
  <si>
    <t>Резервный фонд Правительства Свердловской области</t>
  </si>
  <si>
    <t>309</t>
  </si>
  <si>
    <t>310</t>
  </si>
  <si>
    <t>0702</t>
  </si>
  <si>
    <t>Общее образование</t>
  </si>
  <si>
    <t>311</t>
  </si>
  <si>
    <t>312</t>
  </si>
  <si>
    <t>0820000</t>
  </si>
  <si>
    <t>Подпрограмма «Развитие системы общего образования в городском округе Нижняя Салда»</t>
  </si>
  <si>
    <t>313</t>
  </si>
  <si>
    <t>0822501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</si>
  <si>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</si>
  <si>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314</t>
  </si>
  <si>
    <t>315</t>
  </si>
  <si>
    <t>316</t>
  </si>
  <si>
    <t>317</t>
  </si>
  <si>
    <t>318</t>
  </si>
  <si>
    <t>319</t>
  </si>
  <si>
    <t>0822502</t>
  </si>
  <si>
    <t>321</t>
  </si>
  <si>
    <t>0824530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</si>
  <si>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</t>
  </si>
  <si>
    <t>322</t>
  </si>
  <si>
    <t>0824531</t>
  </si>
  <si>
    <t>323</t>
  </si>
  <si>
    <t>324</t>
  </si>
  <si>
    <t>325</t>
  </si>
  <si>
    <t>326</t>
  </si>
  <si>
    <t>0824532</t>
  </si>
  <si>
    <t>327</t>
  </si>
  <si>
    <t>328</t>
  </si>
  <si>
    <t>329</t>
  </si>
  <si>
    <t>330</t>
  </si>
  <si>
    <t>0824540</t>
  </si>
  <si>
    <t>Обеспечение питанием обучающихся в муниципальных общеобразовательных организациях</t>
  </si>
  <si>
    <t>331</t>
  </si>
  <si>
    <t>332</t>
  </si>
  <si>
    <t>333</t>
  </si>
  <si>
    <t>334</t>
  </si>
  <si>
    <t>0830000</t>
  </si>
  <si>
    <t>Подпрограмма «Развитие системы дополнительного образования, отдыха и оздоровления детей в городском округе Нижняя Салда»</t>
  </si>
  <si>
    <t>335</t>
  </si>
  <si>
    <t>0832501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</si>
  <si>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</si>
  <si>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336</t>
  </si>
  <si>
    <t>337</t>
  </si>
  <si>
    <t>338</t>
  </si>
  <si>
    <t>339</t>
  </si>
  <si>
    <t>340</t>
  </si>
  <si>
    <t>341</t>
  </si>
  <si>
    <t>0832502</t>
  </si>
  <si>
    <t>342</t>
  </si>
  <si>
    <t>343</t>
  </si>
  <si>
    <t>344</t>
  </si>
  <si>
    <t>345</t>
  </si>
  <si>
    <t>0834660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</si>
  <si>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</t>
  </si>
  <si>
    <t>346</t>
  </si>
  <si>
    <t>347</t>
  </si>
  <si>
    <t>0834670</t>
  </si>
  <si>
    <t>Субсидии на укрепление материально-технической базы ДШИ за счет средств областного бюджета</t>
  </si>
  <si>
    <t>348</t>
  </si>
  <si>
    <t>349</t>
  </si>
  <si>
    <t>0832505</t>
  </si>
  <si>
    <t>Развитие кружков технической направленности за счет средств местного бюджета</t>
  </si>
  <si>
    <t>350</t>
  </si>
  <si>
    <t>351</t>
  </si>
  <si>
    <t>0832506</t>
  </si>
  <si>
    <t>Укрепление материально-технической базы ДШИ за счет средств местного бюджета</t>
  </si>
  <si>
    <t>352</t>
  </si>
  <si>
    <t>353</t>
  </si>
  <si>
    <t>354</t>
  </si>
  <si>
    <t>0842502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</si>
  <si>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</si>
  <si>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355</t>
  </si>
  <si>
    <t>356</t>
  </si>
  <si>
    <t>0860000</t>
  </si>
  <si>
    <t>Подпрограмма Мероприятия по реализации комплексной программы  "Уральская инженерная школа"</t>
  </si>
  <si>
    <t>357</t>
  </si>
  <si>
    <t>0862501</t>
  </si>
  <si>
    <t>Мероприятия по открытию кабинета естественно-научного цикла в муниципальных общеобразовательных учреждениях за счет средств местного бюджета</t>
  </si>
  <si>
    <t>358</t>
  </si>
  <si>
    <t>359</t>
  </si>
  <si>
    <t>1000000</t>
  </si>
  <si>
    <t>Муниципальная программа "Развитие физической культуры, спорта и молодежной политики в городском округе Нижняя Салда до 2020 года"</t>
  </si>
  <si>
    <t>1030000</t>
  </si>
  <si>
    <t>Подпрограмма Развитие образования в сфере физической культуры и спорта в городском округе Нижняя Салда</t>
  </si>
  <si>
    <t>361</t>
  </si>
  <si>
    <t>1032503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</si>
  <si>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</si>
  <si>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362</t>
  </si>
  <si>
    <t>363</t>
  </si>
  <si>
    <t>1032505</t>
  </si>
  <si>
    <t>364</t>
  </si>
  <si>
    <t>365</t>
  </si>
  <si>
    <t>0707</t>
  </si>
  <si>
    <t>Молодежная политика и оздоровление детей</t>
  </si>
  <si>
    <t>366</t>
  </si>
  <si>
    <t>367</t>
  </si>
  <si>
    <t>368</t>
  </si>
  <si>
    <t>0832503</t>
  </si>
  <si>
    <t>Организация отдыха и оздоровления детей и подростков в городском округе Нижняя Салда</t>
  </si>
  <si>
    <t>369</t>
  </si>
  <si>
    <t>370</t>
  </si>
  <si>
    <t>371</t>
  </si>
  <si>
    <t xml:space="preserve">Социальные выплаты гражданам, кроме публичных
нормативных социальных выплат
</t>
  </si>
  <si>
    <t>372</t>
  </si>
  <si>
    <t>373</t>
  </si>
  <si>
    <t>374</t>
  </si>
  <si>
    <t>0832504</t>
  </si>
  <si>
    <t>Организация молодежной биржы труда</t>
  </si>
  <si>
    <t>375</t>
  </si>
  <si>
    <t>376</t>
  </si>
  <si>
    <t>377</t>
  </si>
  <si>
    <t>0834560</t>
  </si>
  <si>
    <t>Организация отдыха детей в каникулярное время</t>
  </si>
  <si>
    <t>378</t>
  </si>
  <si>
    <t>379</t>
  </si>
  <si>
    <t>380</t>
  </si>
  <si>
    <t>381</t>
  </si>
  <si>
    <t>382</t>
  </si>
  <si>
    <t>383</t>
  </si>
  <si>
    <t>1040000</t>
  </si>
  <si>
    <t>Подпрограмма Развитие потенциала молодежи в городском округе Нижняя Салда</t>
  </si>
  <si>
    <t>384</t>
  </si>
  <si>
    <t>1042506</t>
  </si>
  <si>
    <t>Обеспечение осуществления мероприятий по работе с молодежью</t>
  </si>
  <si>
    <t>385</t>
  </si>
  <si>
    <t>386</t>
  </si>
  <si>
    <t>1044830</t>
  </si>
  <si>
    <t>Осуществление мероприятий по приоритетным направлениям работы с молодежью за счет средств областного бюджета</t>
  </si>
  <si>
    <t>387</t>
  </si>
  <si>
    <t>388</t>
  </si>
  <si>
    <t>1060000</t>
  </si>
  <si>
    <t>Подпрограмма «Патриотическое воспитание граждан в городском округе Нижняя Салда»</t>
  </si>
  <si>
    <t>389</t>
  </si>
  <si>
    <t>1062508</t>
  </si>
  <si>
    <t>Патриотическое воспитание граждан. Организация участия и проведения учебных сборов</t>
  </si>
  <si>
    <t>390</t>
  </si>
  <si>
    <t>391</t>
  </si>
  <si>
    <t>0709</t>
  </si>
  <si>
    <t>Другие вопросы в области образования</t>
  </si>
  <si>
    <t>392</t>
  </si>
  <si>
    <t>393</t>
  </si>
  <si>
    <t>0850000</t>
  </si>
  <si>
    <t xml:space="preserve">Подпрограмма «Обеспечение реализации муниципальной программы «Развитие системы образования городского округа Нижняя Салда до 2020 года»
</t>
  </si>
  <si>
    <t>394</t>
  </si>
  <si>
    <t>0852501</t>
  </si>
  <si>
    <t>Организация и проведение городских мероприятий в сфере образования</t>
  </si>
  <si>
    <t>395</t>
  </si>
  <si>
    <t>396</t>
  </si>
  <si>
    <t>0852502</t>
  </si>
  <si>
    <t>Обеспечение деятельности аппарата управления образования</t>
  </si>
  <si>
    <t>397</t>
  </si>
  <si>
    <t>398</t>
  </si>
  <si>
    <t>399</t>
  </si>
  <si>
    <t>400</t>
  </si>
  <si>
    <t>401</t>
  </si>
  <si>
    <t>0852503</t>
  </si>
  <si>
    <t>402</t>
  </si>
  <si>
    <t>403</t>
  </si>
  <si>
    <t>0852504</t>
  </si>
  <si>
    <t>Обеспечение деятельности  МКУ "ЦБ"</t>
  </si>
  <si>
    <t>404</t>
  </si>
  <si>
    <t>405</t>
  </si>
  <si>
    <t>406</t>
  </si>
  <si>
    <t>407</t>
  </si>
  <si>
    <t>0800</t>
  </si>
  <si>
    <t>Культура, кинематография</t>
  </si>
  <si>
    <t>408</t>
  </si>
  <si>
    <t>0801</t>
  </si>
  <si>
    <t>Культура</t>
  </si>
  <si>
    <t>409</t>
  </si>
  <si>
    <t>0900000</t>
  </si>
  <si>
    <t>Муниципальная программа "Развитие культуры в городском округе Нижняя Салда до 2020 года"</t>
  </si>
  <si>
    <t>0910000</t>
  </si>
  <si>
    <t>Подпрограмма Развитие деятельности культурно-досуговой сферы</t>
  </si>
  <si>
    <t>411</t>
  </si>
  <si>
    <t>0912601</t>
  </si>
  <si>
    <t>Организация деятельности учреждений культурно-досуговой сферы</t>
  </si>
  <si>
    <t>412</t>
  </si>
  <si>
    <t>413</t>
  </si>
  <si>
    <t>0912603</t>
  </si>
  <si>
    <t>414</t>
  </si>
  <si>
    <t>415</t>
  </si>
  <si>
    <t>0920000</t>
  </si>
  <si>
    <t>Подпрограмма Развитие музейной деятельности</t>
  </si>
  <si>
    <t>416</t>
  </si>
  <si>
    <t>0922603</t>
  </si>
  <si>
    <t>Организация деятельности МБУК "Нижнесалдинский музей", приобретение и хранение музейных предметов и музейных коллекций</t>
  </si>
  <si>
    <t>417</t>
  </si>
  <si>
    <t>418</t>
  </si>
  <si>
    <t>0922604</t>
  </si>
  <si>
    <t xml:space="preserve">Информатизация муниципального  учреждения "Нижнесалдинский музей", в том числе приобретение компьютерного оборудования и лицензионного программного обеспечения, подключение музеев к сети Интернет </t>
  </si>
  <si>
    <t>419</t>
  </si>
  <si>
    <t>420</t>
  </si>
  <si>
    <t>0922605</t>
  </si>
  <si>
    <t>Капитальный ремонт МБУК "Нижнесалдинский музей"</t>
  </si>
  <si>
    <t>421</t>
  </si>
  <si>
    <t>422</t>
  </si>
  <si>
    <t>0930000</t>
  </si>
  <si>
    <t>Подпрограмма Развитие библиотечной деятельности</t>
  </si>
  <si>
    <t>423</t>
  </si>
  <si>
    <t>0932607</t>
  </si>
  <si>
    <t>Организация библиотечного обслуживания населения, формирование и хранение библиотечных фондов муниципальных библиотек</t>
  </si>
  <si>
    <t>424</t>
  </si>
  <si>
    <t>425</t>
  </si>
  <si>
    <t>0932608</t>
  </si>
  <si>
    <t>Информатизация муниципальных        
библиотек, в том числе комплектование книжных фондов (включая приобретение электронных версий книг и приобретение  (подписку) периодических изданий), приобретение компьютерного оборудования и лицензионного программного</t>
  </si>
  <si>
    <t>426</t>
  </si>
  <si>
    <t>427</t>
  </si>
  <si>
    <t>0935144</t>
  </si>
  <si>
    <t xml:space="preserve">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</si>
  <si>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428</t>
  </si>
  <si>
    <t>429</t>
  </si>
  <si>
    <t>0804</t>
  </si>
  <si>
    <t>Другие вопросы в области культуры, кинематографии</t>
  </si>
  <si>
    <t>430</t>
  </si>
  <si>
    <t>431</t>
  </si>
  <si>
    <t>0940000</t>
  </si>
  <si>
    <t>Подпрограмма Обеспечение реализации муниципальной программы "Развитие культуры в городском округе Нижняя Салда до 2020 года"</t>
  </si>
  <si>
    <t>432</t>
  </si>
  <si>
    <t>0942608</t>
  </si>
  <si>
    <t>Обеспечение деятельности аппарата управления культуры</t>
  </si>
  <si>
    <t>433</t>
  </si>
  <si>
    <t>434</t>
  </si>
  <si>
    <t>435</t>
  </si>
  <si>
    <t>436</t>
  </si>
  <si>
    <t>0942609</t>
  </si>
  <si>
    <t>Городские мероприятия в сфере культуры</t>
  </si>
  <si>
    <t>437</t>
  </si>
  <si>
    <t>438</t>
  </si>
  <si>
    <t>0942610</t>
  </si>
  <si>
    <t>Сохранение, использование, популяризация объектов культурного наследия</t>
  </si>
  <si>
    <t>439</t>
  </si>
  <si>
    <t>440</t>
  </si>
  <si>
    <t>0942611</t>
  </si>
  <si>
    <t>441</t>
  </si>
  <si>
    <t>442</t>
  </si>
  <si>
    <t>0942612</t>
  </si>
  <si>
    <t>Обеспечение деятельности  МКУ "ЦБУК"</t>
  </si>
  <si>
    <t>443</t>
  </si>
  <si>
    <t>444</t>
  </si>
  <si>
    <t>445</t>
  </si>
  <si>
    <t>1000</t>
  </si>
  <si>
    <t>Социальная политика</t>
  </si>
  <si>
    <t>446</t>
  </si>
  <si>
    <t>1003</t>
  </si>
  <si>
    <t>Социальное обеспечение населения</t>
  </si>
  <si>
    <t>447</t>
  </si>
  <si>
    <t>0200000</t>
  </si>
  <si>
    <t>Муниципальная программа «Поддержка общественных организаций и отдельных категорий граждан городского округа Нижняя Салда до 2020 года»</t>
  </si>
  <si>
    <t>448</t>
  </si>
  <si>
    <t>0210000</t>
  </si>
  <si>
    <t xml:space="preserve">Подпрограмма Обеспечение жильем молодых семей в городском округе Нижняя Салда до 2020 года </t>
  </si>
  <si>
    <t>449</t>
  </si>
  <si>
    <t>0212901</t>
  </si>
  <si>
    <t>Предоставление социальных выплат молодым семьям на приобретение (строительство жилья)</t>
  </si>
  <si>
    <t>450</t>
  </si>
  <si>
    <t>451</t>
  </si>
  <si>
    <t>0214930</t>
  </si>
  <si>
    <t>Предоставление социальных выплат молодым семьям на приобретение (строительство жилья) за счет средств областного бюджета</t>
  </si>
  <si>
    <t>452</t>
  </si>
  <si>
    <t>453</t>
  </si>
  <si>
    <t>0215020</t>
  </si>
  <si>
    <t>Субсидии на софинансирование социальных выплат молодым семьям на приобретение (строительство) жилья (в части средств федерального бюджета)</t>
  </si>
  <si>
    <t>454</t>
  </si>
  <si>
    <t>455</t>
  </si>
  <si>
    <t>0220000</t>
  </si>
  <si>
    <t>Подпрограмма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2020 года</t>
  </si>
  <si>
    <t>456</t>
  </si>
  <si>
    <t>0222907</t>
  </si>
  <si>
    <t>Предоставление компенсации Почетным гражданам городского округа Нижняя Салда ко Дню города и Новому году</t>
  </si>
  <si>
    <t>457</t>
  </si>
  <si>
    <t>Публичные нормативные социальные выплаты гражданам</t>
  </si>
  <si>
    <t>458</t>
  </si>
  <si>
    <t>0222908</t>
  </si>
  <si>
    <t>Предоставление единовременной компенсации на погребение в случае смерти Почетного гражданина городского округа Нижняя Салда</t>
  </si>
  <si>
    <t>459</t>
  </si>
  <si>
    <t xml:space="preserve"> Публичные нормативные социальные выплаты гражданам</t>
  </si>
  <si>
    <t>460</t>
  </si>
  <si>
    <t>461</t>
  </si>
  <si>
    <t>8004910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</si>
  <si>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</t>
  </si>
  <si>
    <t>462</t>
  </si>
  <si>
    <t>463</t>
  </si>
  <si>
    <t>464</t>
  </si>
  <si>
    <t>8004920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</si>
  <si>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</t>
  </si>
  <si>
    <t>465</t>
  </si>
  <si>
    <t>466</t>
  </si>
  <si>
    <t>467</t>
  </si>
  <si>
    <t>8005250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</si>
  <si>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</t>
  </si>
  <si>
    <t>468</t>
  </si>
  <si>
    <t>469</t>
  </si>
  <si>
    <t>470</t>
  </si>
  <si>
    <t>1006</t>
  </si>
  <si>
    <t>Другие вопросы в области социальной политики</t>
  </si>
  <si>
    <t>471</t>
  </si>
  <si>
    <t>472</t>
  </si>
  <si>
    <t>473</t>
  </si>
  <si>
    <t>0222901</t>
  </si>
  <si>
    <t>Проведение культурно – массовых и спортивных мероприятий для инвалидов</t>
  </si>
  <si>
    <t>474</t>
  </si>
  <si>
    <t>475</t>
  </si>
  <si>
    <t>0222902</t>
  </si>
  <si>
    <t>Приобретение аксессуаров, цветов для поминальных церемоний</t>
  </si>
  <si>
    <t>476</t>
  </si>
  <si>
    <t>477</t>
  </si>
  <si>
    <t>0222903</t>
  </si>
  <si>
    <t>Проведение культурно – массовых мероприятий для ветеранов</t>
  </si>
  <si>
    <t>478</t>
  </si>
  <si>
    <t>479</t>
  </si>
  <si>
    <t>0222904</t>
  </si>
  <si>
    <t>Приобретение оборудования и хоз.инвентаря для общественных организаций</t>
  </si>
  <si>
    <t>480</t>
  </si>
  <si>
    <t>481</t>
  </si>
  <si>
    <t>630</t>
  </si>
  <si>
    <t>Субсидии некоммерческим организациям ( за исключением государственных (муниципальных) учреждений)</t>
  </si>
  <si>
    <t>482</t>
  </si>
  <si>
    <t>0222905</t>
  </si>
  <si>
    <t>Поощрение ветеранов</t>
  </si>
  <si>
    <t>483</t>
  </si>
  <si>
    <t>484</t>
  </si>
  <si>
    <t>485</t>
  </si>
  <si>
    <t>0222906</t>
  </si>
  <si>
    <t>Предоставление компенсации за проезд на транспорте инвалидам в Государственное учреждение здравоохранения СО «Медицинский центр «Диализ» города Нижний Тагил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</si>
  <si>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</si>
  <si>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</si>
  <si>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</si>
  <si>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</si>
  <si>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</si>
  <si>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</si>
  <si>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</si>
  <si>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</si>
  <si>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</si>
  <si>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1100</t>
  </si>
  <si>
    <t>Физическая культура и спорт</t>
  </si>
  <si>
    <t>495</t>
  </si>
  <si>
    <t>1102</t>
  </si>
  <si>
    <t>Массовый спорт</t>
  </si>
  <si>
    <t>496</t>
  </si>
  <si>
    <t>497</t>
  </si>
  <si>
    <t>1010000</t>
  </si>
  <si>
    <t>Подпрограмма Развитие физической культуры и спорта в городском округе Нижняя Салда</t>
  </si>
  <si>
    <t>498</t>
  </si>
  <si>
    <t>1012801</t>
  </si>
  <si>
    <t>Организация предоставления услуг (выполнения работ) в сфере физической культуры и спорта</t>
  </si>
  <si>
    <t>499</t>
  </si>
  <si>
    <t>500</t>
  </si>
  <si>
    <t>1012802</t>
  </si>
  <si>
    <t>501</t>
  </si>
  <si>
    <t>502</t>
  </si>
  <si>
    <t>503</t>
  </si>
  <si>
    <t>504</t>
  </si>
  <si>
    <t>505</t>
  </si>
  <si>
    <t>8001003</t>
  </si>
  <si>
    <t>Расходы связанные со строительством ФОК</t>
  </si>
  <si>
    <t>506</t>
  </si>
  <si>
    <t>507</t>
  </si>
  <si>
    <t>1105</t>
  </si>
  <si>
    <t>Другие вопросы в области физической культуры и спорта</t>
  </si>
  <si>
    <t>508</t>
  </si>
  <si>
    <t>509</t>
  </si>
  <si>
    <t>1050000</t>
  </si>
  <si>
    <t>Подпрограмма Обеспечение реализации муниципальной программы "Развитие физической культуры, спорта и молодежной политики в городском округе Нижняя Салда до 2020 года"</t>
  </si>
  <si>
    <t>510</t>
  </si>
  <si>
    <t>1052807</t>
  </si>
  <si>
    <t>Обеспечение деятельности аппарата управления молодежной политики и спорта</t>
  </si>
  <si>
    <t>511</t>
  </si>
  <si>
    <t>512</t>
  </si>
  <si>
    <t>513</t>
  </si>
  <si>
    <t>1052808</t>
  </si>
  <si>
    <t>Обеспечение деятельностиа МКУ "ЦБУМПиС"</t>
  </si>
  <si>
    <t>514</t>
  </si>
  <si>
    <t>515</t>
  </si>
  <si>
    <t>1200</t>
  </si>
  <si>
    <t>Средства массовой информации</t>
  </si>
  <si>
    <t>516</t>
  </si>
  <si>
    <t>1202</t>
  </si>
  <si>
    <t>Периодическая печать и издательства</t>
  </si>
  <si>
    <t>517</t>
  </si>
  <si>
    <t>518</t>
  </si>
  <si>
    <t>519</t>
  </si>
  <si>
    <t>0642106</t>
  </si>
  <si>
    <t>Обеспечение деятельности МБУ "Пресс-центр "Городской вестник"</t>
  </si>
  <si>
    <t>520</t>
  </si>
  <si>
    <t>521</t>
  </si>
  <si>
    <t>1300</t>
  </si>
  <si>
    <t>Обслуживание государственного и муниципального долга</t>
  </si>
  <si>
    <t>522</t>
  </si>
  <si>
    <t>1301</t>
  </si>
  <si>
    <t>Обслуживание государственного внутреннего и муниципального долга</t>
  </si>
  <si>
    <t>523</t>
  </si>
  <si>
    <t>524</t>
  </si>
  <si>
    <t>1120000</t>
  </si>
  <si>
    <t>Подпрограмма Управление муниципальным долгом</t>
  </si>
  <si>
    <t>525</t>
  </si>
  <si>
    <t>1122104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</si>
  <si>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</si>
  <si>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526</t>
  </si>
  <si>
    <t>730</t>
  </si>
  <si>
    <t>Обслуживание муниципального долга</t>
  </si>
  <si>
    <t>527</t>
  </si>
  <si>
    <t>ВСЕГО</t>
  </si>
  <si>
    <t xml:space="preserve">Информация об исполнении бюджета городского округа Нижняя Салда по расходам на 01.01.2016                    </t>
  </si>
  <si>
    <t>Номер строки</t>
  </si>
  <si>
    <t xml:space="preserve">Наименование источников внутреннего финансирования дефицита  бюджета </t>
  </si>
  <si>
    <t xml:space="preserve">Код источников внутреннего финансирования дефицита бюджета </t>
  </si>
  <si>
    <t>уточненные назначения</t>
  </si>
  <si>
    <t>исполнение</t>
  </si>
  <si>
    <t>Кредиты кредитных организаций в валюте Росийской Федерации</t>
  </si>
  <si>
    <t>919 01 02 00 00 00 0000 000</t>
  </si>
  <si>
    <t>Получение кредитов от  кредитных организаций бюджетами городских округов в валюте Российской Федерации</t>
  </si>
  <si>
    <t>919 01 02 00 00 04 0000 710</t>
  </si>
  <si>
    <t xml:space="preserve">Погашение бюджетами городских округов кредитов от  кредитных организаций в валюте Российской Федерации </t>
  </si>
  <si>
    <t>919 01 02 00 00 04 0000 810</t>
  </si>
  <si>
    <t xml:space="preserve">Бюджетные кредиты  от других бюджетов бюджетной системы Российской Федерации </t>
  </si>
  <si>
    <t>919 01 03 00 00 00 0000 000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</si>
  <si>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</si>
  <si>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</si>
  <si>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</si>
  <si>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</si>
  <si>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бюджетов</t>
  </si>
  <si>
    <t>919 01 05 00 00 00 0000 000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</si>
  <si>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</si>
  <si>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</si>
  <si>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 округов</t>
  </si>
  <si>
    <t>919 01 05 02 01 04 0000 610</t>
  </si>
  <si>
    <t>Итого источники внутреннего финансирования дефицитов бюджетов</t>
  </si>
  <si>
    <t>Информация об исполнении бюджета городского округа Нижняя Салда по источникам внутреннего финансирования дефицита  бюджета                                                                                                                              на 01.01.2016</t>
  </si>
  <si>
    <t>в рублях</t>
  </si>
  <si>
    <t>номер строки</t>
  </si>
  <si>
    <t>Код классификации доходов бюджета</t>
  </si>
  <si>
    <t>Наименование доходов бюджета</t>
  </si>
  <si>
    <t xml:space="preserve">уточненные назначения </t>
  </si>
  <si>
    <t xml:space="preserve">исполнение </t>
  </si>
  <si>
    <t>% исполнения</t>
  </si>
  <si>
    <t>1</t>
  </si>
  <si>
    <t>000 1 00 00000 00 0000 000</t>
  </si>
  <si>
    <t>НАЛОГОВЫЕ И НЕНАЛОГОВЫЕ ДОХОДЫ</t>
  </si>
  <si>
    <t>2</t>
  </si>
  <si>
    <t>000 1 01 00000 00 0000 000</t>
  </si>
  <si>
    <t>НАЛОГИ НА ПРИБЫЛЬ, ДОХОДЫ</t>
  </si>
  <si>
    <t>3</t>
  </si>
  <si>
    <t>182 1 01 02000 01 0000 110</t>
  </si>
  <si>
    <t>Налог на доходы физических лиц</t>
  </si>
  <si>
    <t>4</t>
  </si>
  <si>
    <t xml:space="preserve">100 1 03 00000 00 0000 000   </t>
  </si>
  <si>
    <t>НАЛОГИ  НА  ТОВАРЫ   (РАБОТЫ,   УСЛУГИ), РЕАЛИЗУЕМЫЕ  НА  ТЕРРИТОРИИ   РОССИЙСКОЙ ФЕДЕРАЦИИ</t>
  </si>
  <si>
    <t>5</t>
  </si>
  <si>
    <t xml:space="preserve">000 1 05 00000 00 0000 000 </t>
  </si>
  <si>
    <t>НАЛОГИ НА СОВОКУПНЫЙ ДОХОД</t>
  </si>
  <si>
    <t>6</t>
  </si>
  <si>
    <t>182 1 05 02000 02 0000 110</t>
  </si>
  <si>
    <t xml:space="preserve">Единый налог на вмененный доход для отдельных видов деятельности </t>
  </si>
  <si>
    <t>7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</si>
  <si>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</si>
  <si>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</si>
  <si>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8</t>
  </si>
  <si>
    <t>000 1 06 00000 00 0000 000</t>
  </si>
  <si>
    <t>НАЛОГИ НА ИМУЩЕСТВО</t>
  </si>
  <si>
    <t>9</t>
  </si>
  <si>
    <t>182 1 06 01000 00 0000 110</t>
  </si>
  <si>
    <t>Налог на имущество физических лиц</t>
  </si>
  <si>
    <t>10</t>
  </si>
  <si>
    <t>182 1 06 01020 04 0000 110</t>
  </si>
  <si>
    <t>Налог на имущество физических лиц ,взимаемый по ставкам,  применяемым к объектам налогообложения в границах  городских округов</t>
  </si>
  <si>
    <t>11</t>
  </si>
  <si>
    <t>182 1 06 06000 00 0000 110</t>
  </si>
  <si>
    <t>Земельный налог</t>
  </si>
  <si>
    <t>12</t>
  </si>
  <si>
    <t>182 1 06 06042 04 0000 110</t>
  </si>
  <si>
    <t>13</t>
  </si>
  <si>
    <t>182 1 06 06032 04 0000 110</t>
  </si>
  <si>
    <t>14</t>
  </si>
  <si>
    <t>000 1 08 00000 00 0000 000</t>
  </si>
  <si>
    <t>ГОСУДАРСТВЕННАЯ ПОШЛИНА</t>
  </si>
  <si>
    <t>15</t>
  </si>
  <si>
    <t>182 1 08 03010 01 0000 110</t>
  </si>
  <si>
    <t>Государственная пошлина по делам,рассматриваемым в судах общей юрисдикции,мировыми судьями</t>
  </si>
  <si>
    <t>16</t>
  </si>
  <si>
    <t>901 1 08 07173 01 0000 110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</si>
  <si>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</si>
  <si>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17</t>
  </si>
  <si>
    <t>901 1 08 07150 01 0000 110</t>
  </si>
  <si>
    <t xml:space="preserve">Государственная пошлина за выдачу разрешения на установку рекламной конструкции </t>
  </si>
  <si>
    <t>18</t>
  </si>
  <si>
    <t>000 1 09 00000 00 0000 000</t>
  </si>
  <si>
    <t>ЗАДОЛЖЕННОСТЬ И ПЕРЕРАСЧЕТЫ ПО ОТМЕНЕННЫМ НАЛОГАМ</t>
  </si>
  <si>
    <t>19</t>
  </si>
  <si>
    <t>182 1 09 04052 04 0000 110</t>
  </si>
  <si>
    <t>Земельный налог (по обязательствам возникшим до 1 января 2006года), мобилизуемый на территорияхгородских округов.</t>
  </si>
  <si>
    <t>20</t>
  </si>
  <si>
    <t>182 1 09 07032 04 0000 110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</si>
  <si>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</si>
  <si>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21</t>
  </si>
  <si>
    <t>000 1 11 00000 00 0000 000</t>
  </si>
  <si>
    <t>ДОХОДЫ ОТ ИСПОЛЬЗОВАНИЯ ИМУЩЕСТВА,НАХОДЯЩЕГОСЯ В ГОСУДАРСТВЕННОЙ И МУНИЦИПАЛЬНОЙ СОБСТВЕННОСТИ</t>
  </si>
  <si>
    <t>22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</si>
  <si>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</si>
  <si>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</si>
  <si>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23</t>
  </si>
  <si>
    <t>901 1 11 05010 00 0000 120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</si>
  <si>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</si>
  <si>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24</t>
  </si>
  <si>
    <t>901 1 11 05020 00 0000 120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</si>
  <si>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</si>
  <si>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25</t>
  </si>
  <si>
    <t xml:space="preserve">906 1 11 05030 00 0000 120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</si>
  <si>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</si>
  <si>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26</t>
  </si>
  <si>
    <t xml:space="preserve">901 1 11 05070 00 0000 120  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</si>
  <si>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</si>
  <si>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27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</si>
  <si>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</si>
  <si>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</si>
  <si>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</t>
  </si>
  <si>
    <t xml:space="preserve">000 1 12 00000 00 0000 000 </t>
  </si>
  <si>
    <t>ПЛАТЕЖИ ПРИ ПОЛЬЗОВАНИИ ПРИРОДНЫМИ РЕСУРСАМИ</t>
  </si>
  <si>
    <t>29</t>
  </si>
  <si>
    <t>048 1 12 01000 01 0000 120</t>
  </si>
  <si>
    <t>Плата за негативное воздействие на окружающую среду</t>
  </si>
  <si>
    <t>30</t>
  </si>
  <si>
    <t xml:space="preserve">000 1 13 00000 00 0000 000  </t>
  </si>
  <si>
    <t>ДОХОДЫ ОТ ОКАЗАНИЯ ПЛАТНЫХ УСЛУГ И КОМПЕНСАЦИИ ЗАТРАТ ГОСУДАРСТВА</t>
  </si>
  <si>
    <t>31</t>
  </si>
  <si>
    <t xml:space="preserve"> 000 1 13 01990 00 0000 130</t>
  </si>
  <si>
    <t>Прочие доходы от оказания платных услуг (работ)</t>
  </si>
  <si>
    <t>32</t>
  </si>
  <si>
    <t>906 1 13 01994 04 0001 130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</si>
  <si>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</t>
  </si>
  <si>
    <t>33</t>
  </si>
  <si>
    <t>906 1 13 01994 04 0004 130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</si>
  <si>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</si>
  <si>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34</t>
  </si>
  <si>
    <t>000 1 13 02990 00 0000 130</t>
  </si>
  <si>
    <t>Прочие доходы от компенсации затрат государства</t>
  </si>
  <si>
    <t>35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</si>
  <si>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</si>
  <si>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</si>
  <si>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36</t>
  </si>
  <si>
    <t>906 1 13 02994 04 0001 130</t>
  </si>
  <si>
    <t>37</t>
  </si>
  <si>
    <t>000 1 14 00000 00 0000 000</t>
  </si>
  <si>
    <t>ДОХОДЫ ОТ ПРОДАЖИ МАТЕРИАЛЬНЫХ И НЕМАТЕРИАЛЬНЫХ АКТИВОВ</t>
  </si>
  <si>
    <t>38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</si>
  <si>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</si>
  <si>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</si>
  <si>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39</t>
  </si>
  <si>
    <t>901 1 14 02043 04 0000 410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</si>
  <si>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</si>
  <si>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40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</si>
  <si>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</si>
  <si>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</si>
  <si>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41</t>
  </si>
  <si>
    <t>901 1 14 06010 00 0000 430</t>
  </si>
  <si>
    <t>Доходы от продажи земельных участков, государственная собственность на которые не разграничена</t>
  </si>
  <si>
    <t>42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</si>
  <si>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</si>
  <si>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</si>
  <si>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43</t>
  </si>
  <si>
    <t xml:space="preserve">000 1 16 00000 00 0000 000 </t>
  </si>
  <si>
    <t>ШТРАФЫ, САНКЦИИ, ВОЗМЕЩЕНИЕ УЩЕРБА</t>
  </si>
  <si>
    <t>44</t>
  </si>
  <si>
    <t>182 1 16 03000 00 0000 140</t>
  </si>
  <si>
    <t>Денежные взыскания (штрафы) за нарушение законодательства о налогах и сборах</t>
  </si>
  <si>
    <t>45</t>
  </si>
  <si>
    <t>321 1 16 25060 01 0000 140</t>
  </si>
  <si>
    <t>Денежные взыскания (штрафы) за нарушение земельного законодательства</t>
  </si>
  <si>
    <t>46</t>
  </si>
  <si>
    <t xml:space="preserve">901 1 16 51020 02 0000 140   </t>
  </si>
  <si>
    <t>Денежные       взыскания       (штрафы), установленные     законами     субъектов  Российской  Федерации  за   несоблюдение   муниципальных      правовых       актов, зачисляемые в бюджеты городских округов</t>
  </si>
  <si>
    <t>47</t>
  </si>
  <si>
    <t>000 1 16 90040 04 0000 140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</si>
  <si>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</si>
  <si>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48</t>
  </si>
  <si>
    <t>037 1 16 90040 04 0000 140</t>
  </si>
  <si>
    <t>49</t>
  </si>
  <si>
    <t>901 1 16 90040 04 0000 140</t>
  </si>
  <si>
    <t>50</t>
  </si>
  <si>
    <t>192 1 16 90040 04 0000 140</t>
  </si>
  <si>
    <t>51</t>
  </si>
  <si>
    <t>188 1 16 90040 04 0000 140</t>
  </si>
  <si>
    <t>52</t>
  </si>
  <si>
    <t>017 1 16 90040 04 0000 140</t>
  </si>
  <si>
    <t>53</t>
  </si>
  <si>
    <t>000 1 17 00000 00 0000 000</t>
  </si>
  <si>
    <t>ПРОЧИЕ НЕНАЛОГОВЫЕ ДОХОДЫ</t>
  </si>
  <si>
    <t>54</t>
  </si>
  <si>
    <t>906 1 17 01040 04 0000 180</t>
  </si>
  <si>
    <t>Невыясненные поступления, зачисляемые в бюджеты городских округов</t>
  </si>
  <si>
    <t>55</t>
  </si>
  <si>
    <t>919 1 17 01040 04 0000 180</t>
  </si>
  <si>
    <t>56</t>
  </si>
  <si>
    <t>901 1 17 05040 04 0000 180</t>
  </si>
  <si>
    <t>Прочие неналоговые доходы бюджетов городских округов</t>
  </si>
  <si>
    <t>57</t>
  </si>
  <si>
    <t>908 1 17 05040 04 0000 180</t>
  </si>
  <si>
    <t>58</t>
  </si>
  <si>
    <t>000 2 00 00000 00 0000 000</t>
  </si>
  <si>
    <t>БЕЗВОЗМЕЗДНЫЕ ПОСТУПЛЕНИЯ</t>
  </si>
  <si>
    <t>59</t>
  </si>
  <si>
    <t>000 2 02 00000 00 0000 000</t>
  </si>
  <si>
    <t>Безвозмездные поступления от других бюджетов бюджетной системы Российской Федерации</t>
  </si>
  <si>
    <t>60</t>
  </si>
  <si>
    <t>000 2 02 01000 00 0000 151</t>
  </si>
  <si>
    <t>Дотации бюджетам субъектов РФ и муниципальных образований</t>
  </si>
  <si>
    <t>61</t>
  </si>
  <si>
    <t>919 2 02 01001 00 0000 151</t>
  </si>
  <si>
    <t>Дотации  бюджетам  на выравнивание бюджетной обеспеченности , в том числе:</t>
  </si>
  <si>
    <t>62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</si>
  <si>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</si>
  <si>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63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</si>
  <si>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</si>
  <si>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64</t>
  </si>
  <si>
    <t>000  2 02 02000 00 0000 151</t>
  </si>
  <si>
    <t>Субсидии бюджетам бюджетной системы Российской Федерации (межбюджетные субсидии)</t>
  </si>
  <si>
    <t>65</t>
  </si>
  <si>
    <t>901 2 02 02051 04 0000 151</t>
  </si>
  <si>
    <t xml:space="preserve">
субсидии на предоставление социальных выплат молодым семьям на приобретение (строительство) жилья</t>
  </si>
  <si>
    <t>66</t>
  </si>
  <si>
    <t>906 2 02 02077 04 0000 151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</si>
  <si>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</si>
  <si>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67</t>
  </si>
  <si>
    <t>000 2 02 02999 04 0000 151</t>
  </si>
  <si>
    <t>Прочие субсидии бюджетам городских округов, в том числе:</t>
  </si>
  <si>
    <t>68</t>
  </si>
  <si>
    <t>901 2 02 02999 04 0000 151</t>
  </si>
  <si>
    <t>субсидии на выравнивание обеспеченности муниципальных районов(городских округов) по реализации ими их отдельных расходных обязательств по вопросам местного значения</t>
  </si>
  <si>
    <t>69</t>
  </si>
  <si>
    <t>906 2 02 02999 04 0000 151</t>
  </si>
  <si>
    <t>субсидии на обеспечение питанием обучающихся в  муниципальных общеобразовательных организациях</t>
  </si>
  <si>
    <t>70</t>
  </si>
  <si>
    <t>субсидии на организацию отдыха детей в каникулярное время</t>
  </si>
  <si>
    <t>71</t>
  </si>
  <si>
    <t>субсидии на реализацию мероприятий по информатизации муниципальных образований в Свердловской области</t>
  </si>
  <si>
    <t>72</t>
  </si>
  <si>
    <t>915 2 02 02999 04 0000 151</t>
  </si>
  <si>
    <t>субсидии на осуществление мероприятий по приоритетным направлениям работы с молодежью</t>
  </si>
  <si>
    <t>73</t>
  </si>
  <si>
    <t>000 2 02 03000 00 0000 151</t>
  </si>
  <si>
    <t>Субвенции  бюджетам субъектов РФ и муниципальных образований</t>
  </si>
  <si>
    <t>74</t>
  </si>
  <si>
    <t>901 2 02 03001 04 0000 151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</si>
  <si>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</si>
  <si>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75</t>
  </si>
  <si>
    <t>901 2 02 03015 04 0000 151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</si>
  <si>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</si>
  <si>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76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</si>
  <si>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</si>
  <si>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</si>
  <si>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77</t>
  </si>
  <si>
    <t>000  2 02 03024 04 0000 151</t>
  </si>
  <si>
    <t>Субвенции бюджетам городских округов на выполнение передаваемых полномочий субъектов  Российской Федерации, в том числе:</t>
  </si>
  <si>
    <t>78</t>
  </si>
  <si>
    <t>901  2 02 03024 04 0000 151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</si>
  <si>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</si>
  <si>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79</t>
  </si>
  <si>
    <t>80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</si>
  <si>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</si>
  <si>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81</t>
  </si>
  <si>
    <t>Субвенции на осуществление государственного полномочия по созданию административных комиссий</t>
  </si>
  <si>
    <t>82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</si>
  <si>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</si>
  <si>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83</t>
  </si>
  <si>
    <t>000 2 02 03999  04 0000 151</t>
  </si>
  <si>
    <t>Прочие субвенции бюджетам городских округов, в том числе:</t>
  </si>
  <si>
    <t>84</t>
  </si>
  <si>
    <t>906 2 02 03999  04 0000 151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</si>
  <si>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</t>
  </si>
  <si>
    <t>85</t>
  </si>
  <si>
    <t xml:space="preserve">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</si>
  <si>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86</t>
  </si>
  <si>
    <t>000 2 02 04000 00 0000 151</t>
  </si>
  <si>
    <t>Иные межбюджетные трансферты</t>
  </si>
  <si>
    <t>87</t>
  </si>
  <si>
    <t>908 2 02 04025 04 0000 151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</si>
  <si>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</si>
  <si>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88</t>
  </si>
  <si>
    <t>000 2 02 04999 04 0000 151</t>
  </si>
  <si>
    <t>Прочие межбюджетные трансферты, передаваемые бюджетам городских округов, в том числе:</t>
  </si>
  <si>
    <t>89</t>
  </si>
  <si>
    <t>906 2 02 04999 04 0000 151</t>
  </si>
  <si>
    <t xml:space="preserve"> на обеспечение меры социальной поддержки по бесплатному получению художественного образования  в муниципальных организациях (учреждениях) дополнительного образования, в том числе в домах детского творчества, школах искусств, детям-сиротам, детям, оставши</t>
  </si>
  <si>
    <t>90</t>
  </si>
  <si>
    <t>для муниципального бюджетного дошкольного образовательного учреждения городского округа Нижняя Салда детский сад общеразвивающего вида №3 "Росинка" (из резервного фонда Правительства Свердловской области)</t>
  </si>
  <si>
    <t>91</t>
  </si>
  <si>
    <t>000 2 07 00000 00 0000 000</t>
  </si>
  <si>
    <t>Прочие безвозмездные поступления</t>
  </si>
  <si>
    <t>92</t>
  </si>
  <si>
    <t>901 2 07 04050 04 0000 180</t>
  </si>
  <si>
    <t>Прочие безвозмездные поступления в бюджеты городских округов</t>
  </si>
  <si>
    <t>93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</si>
  <si>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</si>
  <si>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</si>
  <si>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94</t>
  </si>
  <si>
    <t>908 2 18 04010 04 0000 180</t>
  </si>
  <si>
    <t>Доходы бюджетов городских округов от возврата бюджетными учреждениями остатков субсидий прошлых лет</t>
  </si>
  <si>
    <t>95</t>
  </si>
  <si>
    <t>915 2 18 04010 04 0000 180</t>
  </si>
  <si>
    <t>96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</si>
  <si>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</si>
  <si>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</si>
  <si>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97</t>
  </si>
  <si>
    <t>901 2 19 04000 04 0000 151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</si>
  <si>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округов.</t>
  </si>
  <si>
    <t>98</t>
  </si>
  <si>
    <t>906 2 19 04000 04 0000 151</t>
  </si>
  <si>
    <t>99</t>
  </si>
  <si>
    <t>ИТОГО ДОХОДОВ</t>
  </si>
  <si>
    <r>
      <t xml:space="preserve">Земельный налог </t>
    </r>
    <r>
      <rPr>
        <b/>
        <sz val="12"/>
        <color indexed="56"/>
        <rFont val="Times New Roman"/>
        <family val="1"/>
      </rPr>
      <t xml:space="preserve">с физических лиц, </t>
    </r>
    <r>
      <rPr>
        <sz val="12"/>
        <color indexed="56"/>
        <rFont val="Times New Roman"/>
        <family val="1"/>
      </rPr>
      <t>обладающих земельным участком, расположенным в границах городских округов</t>
    </r>
  </si>
  <si>
    <r>
      <t xml:space="preserve">Земельный </t>
    </r>
    <r>
      <rPr>
        <b/>
        <sz val="12"/>
        <color indexed="56"/>
        <rFont val="Times New Roman"/>
        <family val="1"/>
      </rPr>
      <t>налог с организаций</t>
    </r>
    <r>
      <rPr>
        <sz val="12"/>
        <color indexed="56"/>
        <rFont val="Times New Roman"/>
        <family val="1"/>
      </rPr>
      <t>, обладающих земельным участком, расположенным в границах городских округов</t>
    </r>
  </si>
  <si>
    <r>
      <t xml:space="preserve">Субвенции на осуществление государственного полномочия </t>
    </r>
    <r>
      <rPr>
        <b/>
        <sz val="12"/>
        <color indexed="56"/>
        <rFont val="Times New Roman"/>
        <family val="1"/>
      </rPr>
      <t>Свердловской области</t>
    </r>
    <r>
      <rPr>
        <sz val="12"/>
        <color indexed="56"/>
        <rFont val="Times New Roman"/>
        <family val="1"/>
      </rPr>
      <t xml:space="preserve"> по предоставлению отдельным категориям граждан компенсации расходов на оплату жилого помещения и коммунальных услуг</t>
    </r>
  </si>
  <si>
    <t xml:space="preserve">Информация об исполнении бюджета городского округа Нижняя Салда по доходам на 01.01.2016                   </t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</si>
  <si>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</si>
  <si>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</si>
  <si>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</si>
  <si>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</si>
  <si>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</si>
  <si>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</si>
  <si>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</si>
  <si>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</si>
  <si>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</si>
  <si>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Бюджет городского округа, сумма в рублях</t>
  </si>
  <si>
    <t>Исполнено, сумма в рублях</t>
  </si>
  <si>
    <t>Процент исполнения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</si>
  <si>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</si>
  <si>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</si>
  <si>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</si>
  <si>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</si>
  <si>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8000000</t>
  </si>
  <si>
    <t>Непрограммные направления деятельности</t>
  </si>
  <si>
    <t>8001101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</si>
  <si>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</si>
  <si>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</si>
  <si>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</si>
  <si>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</si>
  <si>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</si>
  <si>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8001001</t>
  </si>
  <si>
    <t>Обеспечение деятельности органов местного самоуправления (центральный аппарат)</t>
  </si>
  <si>
    <t>240</t>
  </si>
  <si>
    <t xml:space="preserve">Иные закупки товаров, работ и услуг для обеспечения государственных (муниципальных) нужд
</t>
  </si>
  <si>
    <t>8001002</t>
  </si>
  <si>
    <t>Погашение кредиторской задолженности прошлых лет</t>
  </si>
  <si>
    <t>8001201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</si>
  <si>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</si>
  <si>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0104</t>
  </si>
  <si>
    <t>830</t>
  </si>
  <si>
    <t>Исполнение судебных актов</t>
  </si>
  <si>
    <t>850</t>
  </si>
  <si>
    <t xml:space="preserve">Уплата налогов, сборов и иных платежей
</t>
  </si>
  <si>
    <t xml:space="preserve">Погашение кредиторской задолженности прошлых лет </t>
  </si>
  <si>
    <t>8001102</t>
  </si>
  <si>
    <t>Глава местной администрации (исполнительно-распорядительного органа муниципального образования)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</si>
  <si>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</si>
  <si>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</si>
  <si>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</t>
  </si>
  <si>
    <t xml:space="preserve">Муниципальная программа городского округа Нижняя Салда «Управление  муниципальными финансами городского округа Нижняя Салда  до 2020 года»
</t>
  </si>
  <si>
    <t>1130000</t>
  </si>
  <si>
    <t>Подпрограмма 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2020 года»</t>
  </si>
  <si>
    <t>1132101</t>
  </si>
  <si>
    <t>Обеспечение деятельности финансовых органов</t>
  </si>
  <si>
    <t>0111</t>
  </si>
  <si>
    <t>Резервные фонды</t>
  </si>
  <si>
    <t>8005070</t>
  </si>
  <si>
    <t>Резервный фонд администрации городского округа Нижняя Салда</t>
  </si>
  <si>
    <t>870</t>
  </si>
  <si>
    <t>Резервные средства</t>
  </si>
  <si>
    <t>0113</t>
  </si>
  <si>
    <t>Другие общегосударственные вопросы</t>
  </si>
  <si>
    <t>0500000</t>
  </si>
  <si>
    <t>Муниципальная программа «Повышение эффективности управления муниципальной собственностью городского округа Нижняя Салда до 2020 года»</t>
  </si>
  <si>
    <t>0510000</t>
  </si>
  <si>
    <t>Подпрограмма Программа управления муниципальной собственностью и приватизации муниципального имущества городского округа Нижняя Салда до 2020 года</t>
  </si>
  <si>
    <t>0512101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</si>
  <si>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</si>
  <si>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0512102</t>
  </si>
  <si>
    <t xml:space="preserve">Проведение рыночной оценки стоимости имущества </t>
  </si>
  <si>
    <t xml:space="preserve">Иные закупки товаров, работ и услуг для обеспечения
государственных (муниципальных) нужд
</t>
  </si>
  <si>
    <t>0512104</t>
  </si>
  <si>
    <t>Расходы на содержание имущества</t>
  </si>
  <si>
    <t>0512105</t>
  </si>
  <si>
    <t>0600000</t>
  </si>
  <si>
    <t>Муниципальная программа "Общегосударственные вопросы"</t>
  </si>
  <si>
    <t>0610000</t>
  </si>
  <si>
    <t>Подпрограмма "Обеспечение иных расходных полномочий"</t>
  </si>
  <si>
    <t>0612101</t>
  </si>
  <si>
    <t>Уплата членских взносов ассоциации "Совет муниципальных образований"</t>
  </si>
  <si>
    <t>0620000</t>
  </si>
  <si>
    <t>Подпрограмма "Обеспечение деятельности административных комиссий"</t>
  </si>
  <si>
    <t>0624110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</si>
  <si>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</si>
  <si>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0624120</t>
  </si>
  <si>
    <t>Осуществление государственного полномочия Свердловской области по созданию административных комиссий</t>
  </si>
  <si>
    <t>0630000</t>
  </si>
  <si>
    <t>Подпрограмма Пенсионное обеспечение муниципальных служащих</t>
  </si>
  <si>
    <t>0632104</t>
  </si>
  <si>
    <t>Пенсионное обеспечение муниципальных служащих</t>
  </si>
  <si>
    <t>320</t>
  </si>
  <si>
    <t xml:space="preserve">Социальные выплаты гражданам, кроме публичных нормативных социальных выплат
</t>
  </si>
  <si>
    <t>0640000</t>
  </si>
  <si>
    <t>Подпрограмма Обеспечение деятельности подведомственных учреждений</t>
  </si>
  <si>
    <t>0642105</t>
  </si>
  <si>
    <t>Обеспечение деятельности МКУ "Архив городского округа Нижняя Салда"</t>
  </si>
  <si>
    <t>110</t>
  </si>
  <si>
    <t>Расходы на выплаты персоналу казенных учреждений</t>
  </si>
  <si>
    <t>0642107</t>
  </si>
  <si>
    <t>Обеспечение деятельности МБУ "Служба муниципального заказа"</t>
  </si>
  <si>
    <t>610</t>
  </si>
  <si>
    <t>Субсидии бюджетным учреждениям</t>
  </si>
  <si>
    <t>0642108</t>
  </si>
  <si>
    <t>0644610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</si>
  <si>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</si>
  <si>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0200</t>
  </si>
  <si>
    <t>Национальная оборона</t>
  </si>
  <si>
    <t>0203</t>
  </si>
  <si>
    <t>Мобилизационная и вневойсковая подготовка</t>
  </si>
  <si>
    <t>8005118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</si>
  <si>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</si>
  <si>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</si>
  <si>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</si>
  <si>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</si>
  <si>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</si>
  <si>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0700000</t>
  </si>
  <si>
    <t xml:space="preserve">Муниципальная программа "Развитие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обеспечение пожарной безопасности и безопасности людей на водных объектах на </t>
  </si>
  <si>
    <t>0710000</t>
  </si>
  <si>
    <t>Подпрограмма Гражданская оборона и предупреждение чрезвычайных ситуаций на территории городского округа Нижняя Салда на 2014-2020 годы</t>
  </si>
  <si>
    <t>0712201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</si>
  <si>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</si>
  <si>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0712205</t>
  </si>
  <si>
    <t>Обеспечение безопасности людей на водных объектах, предотвращение несчастных случаев на водоемах</t>
  </si>
  <si>
    <t>0712206</t>
  </si>
  <si>
    <t>Содержание МКУ ЕДДС</t>
  </si>
  <si>
    <t>0712207</t>
  </si>
  <si>
    <t>0310</t>
  </si>
  <si>
    <t>Обеспечение пожарной безопасности</t>
  </si>
  <si>
    <t>0720000</t>
  </si>
  <si>
    <t>Подпрограмма Обеспечение первичных мер пожарной безопасности на территории городского округа Нижняя Салда</t>
  </si>
  <si>
    <t>0722202</t>
  </si>
  <si>
    <t xml:space="preserve">Создание условий для организации добровольной пожарной охраны, принятие мер по локализации пожара и спасения людей и имущества до прибытия подразделений Государственной противопожарной службы </t>
  </si>
  <si>
    <t>100</t>
  </si>
  <si>
    <t>101</t>
  </si>
  <si>
    <t>0722204</t>
  </si>
  <si>
    <t>102</t>
  </si>
  <si>
    <t>244</t>
  </si>
  <si>
    <t>103</t>
  </si>
  <si>
    <t>360</t>
  </si>
  <si>
    <t>Иные выплаты населению</t>
  </si>
  <si>
    <t>104</t>
  </si>
  <si>
    <t>0722205</t>
  </si>
  <si>
    <t>Изготовление и транслирование по телевидению тематических видеоматериалов</t>
  </si>
  <si>
    <t>105</t>
  </si>
  <si>
    <t>106</t>
  </si>
  <si>
    <t>0314</t>
  </si>
  <si>
    <t>Другие  вопросы в области национальной безопасности и правоохранительной деятельности</t>
  </si>
  <si>
    <t>107</t>
  </si>
  <si>
    <t>0100000</t>
  </si>
  <si>
    <t>Муниципальная программа "Профилактика правонарушений в городском округе Нижняя Салда до 2020 года"</t>
  </si>
  <si>
    <t>108</t>
  </si>
  <si>
    <t>0102205</t>
  </si>
  <si>
    <t>Организация приобретения и установки на улицах и в местах массового пребывания людей средств видеонаблюдения</t>
  </si>
  <si>
    <t>109</t>
  </si>
  <si>
    <t>0102206</t>
  </si>
  <si>
    <t>Организация обслуживания систем видеонаблюдения</t>
  </si>
  <si>
    <t>111</t>
  </si>
  <si>
    <t>112</t>
  </si>
  <si>
    <t>0102223</t>
  </si>
  <si>
    <t xml:space="preserve">Предоставление единовременной помощи лицам БОМЖ и лицам,освободившимся из мест лишения свободы для оформления паспортов </t>
  </si>
  <si>
    <t>113</t>
  </si>
  <si>
    <t>114</t>
  </si>
  <si>
    <t>1500000</t>
  </si>
  <si>
    <t xml:space="preserve">Муниципальная программа "Гармонизация межнациональных отношений,профилактика экстремизма и терроризма на территории городского округа Нижняя Салда на 2015- 2020 годы" </t>
  </si>
  <si>
    <t>115</t>
  </si>
  <si>
    <t>1502215</t>
  </si>
  <si>
    <t>Обеспечение дополнительными мерами антитеррористической и противодиверсионной защищенности объектов дошколных образовательных учреждений (установка домофонов)</t>
  </si>
  <si>
    <t>116</t>
  </si>
  <si>
    <t>0400</t>
  </si>
  <si>
    <t>Национальная экономика</t>
  </si>
  <si>
    <t>117</t>
  </si>
  <si>
    <t>0405</t>
  </si>
  <si>
    <t>Сельское хозяйство и рыболовство</t>
  </si>
  <si>
    <t>118</t>
  </si>
  <si>
    <t>1400000</t>
  </si>
  <si>
    <t xml:space="preserve">Муниципальная программа «Развитие и поддержка  субъектов малого и среднего предпринимательства и агропромышленного комплекса в городском округе  Нижняя Салда на 2014-2020 годы»
</t>
  </si>
  <si>
    <t>119</t>
  </si>
  <si>
    <t>1402303</t>
  </si>
  <si>
    <t>Оказание финансовой поддержки  крестьянско-фермерским хозяйствам   городского округа Нижняя Салда (предоставление субсидий  из местного бюджета)</t>
  </si>
  <si>
    <t>810</t>
  </si>
  <si>
    <t xml:space="preserve">Субсидии юридическим лицам
(кроме некоммерческих организаций), индивидуальным
предпринимателям, физическим лицам
</t>
  </si>
  <si>
    <t>121</t>
  </si>
  <si>
    <t>80042ПО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</si>
  <si>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</si>
  <si>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122</t>
  </si>
  <si>
    <t>123</t>
  </si>
  <si>
    <t>0406</t>
  </si>
  <si>
    <t>Водное хозяйство</t>
  </si>
  <si>
    <t>124</t>
  </si>
  <si>
    <t>1300000</t>
  </si>
  <si>
    <t>Муниципальная программа "Обеспечение рационального и безопасного природопользования на территории городского округа Нижняя Салда до 2020 года</t>
  </si>
  <si>
    <t>125</t>
  </si>
  <si>
    <t>1320000</t>
  </si>
  <si>
    <t>Подпрограмма Развитие водохозяйственного комплекса в городском округе Нижняя Салда на 2014-2020 годы</t>
  </si>
  <si>
    <t>126</t>
  </si>
  <si>
    <t>1322302</t>
  </si>
  <si>
    <t>Обслуживание гидроузла</t>
  </si>
  <si>
    <t>127</t>
  </si>
  <si>
    <t>128</t>
  </si>
  <si>
    <t>1322303</t>
  </si>
  <si>
    <t>129</t>
  </si>
  <si>
    <t>130</t>
  </si>
  <si>
    <t>0407</t>
  </si>
  <si>
    <t>Лесное хозяйство</t>
  </si>
  <si>
    <t>131</t>
  </si>
  <si>
    <t>132</t>
  </si>
  <si>
    <t>1330000</t>
  </si>
  <si>
    <t>Подпрограмма Организация использования и охраны лесов городского округа Нижняя Салда</t>
  </si>
  <si>
    <t>133</t>
  </si>
  <si>
    <t>1332302</t>
  </si>
  <si>
    <t>Мероприятия по лесохозяйственному регламенту для городских лесов</t>
  </si>
  <si>
    <t>134</t>
  </si>
  <si>
    <t>135</t>
  </si>
  <si>
    <t>0409</t>
  </si>
  <si>
    <t>Дорожное хозяйство (дорожные фонды)</t>
  </si>
  <si>
    <t>136</t>
  </si>
  <si>
    <t>0400000</t>
  </si>
  <si>
    <t xml:space="preserve">Муниципальная программа городского округа Нижняя Салда
«Развитие транспорта и  дорожного хозяйства городского округа Нижняя Салда  до 2020 года»
</t>
  </si>
  <si>
    <t>137</t>
  </si>
  <si>
    <t>0410000</t>
  </si>
  <si>
    <t>Подпрограмма Развитие дорожного хозяйства в городском округе Нижняя Салда на 2014-2020 годы</t>
  </si>
  <si>
    <t>138</t>
  </si>
  <si>
    <t>0412401</t>
  </si>
  <si>
    <t>Содержание автомобильных дорог общего пользования и сооружений на них</t>
  </si>
  <si>
    <t>139</t>
  </si>
  <si>
    <t>140</t>
  </si>
  <si>
    <t>141</t>
  </si>
  <si>
    <t>0412402</t>
  </si>
  <si>
    <t>Капитальный ремонт и ремонт автомобильных дорог общего пользования и сооружения на них</t>
  </si>
  <si>
    <t>142</t>
  </si>
  <si>
    <t>143</t>
  </si>
  <si>
    <t>0412404</t>
  </si>
  <si>
    <t>Проведение технического учета и паспортизации автомобильных дорог, находящихся в муниципальной собственности городского округа Нижняя Салда</t>
  </si>
  <si>
    <t>144</t>
  </si>
  <si>
    <t>145</t>
  </si>
  <si>
    <t>0412407</t>
  </si>
  <si>
    <t>146</t>
  </si>
  <si>
    <t>147</t>
  </si>
  <si>
    <t>0430000</t>
  </si>
  <si>
    <t>Подпрограмма Повышение безопасности дорожного движения на территории городского округа Нижняя Салда до 2020 года</t>
  </si>
  <si>
    <t>148</t>
  </si>
  <si>
    <t>0432401</t>
  </si>
  <si>
    <t>Осуществление мероприятий по повышению уровня защищенности участников дорожного движения</t>
  </si>
  <si>
    <t>149</t>
  </si>
  <si>
    <t>150</t>
  </si>
  <si>
    <t>0432404</t>
  </si>
  <si>
    <t>Осуществление мероприятий по повышению уровня обучения правильному поведению на улично-дорожной сети детей и подростков</t>
  </si>
  <si>
    <t>151</t>
  </si>
  <si>
    <t>152</t>
  </si>
  <si>
    <t>0432405</t>
  </si>
  <si>
    <t>Организация мероприятий по приведению в удовлетворительное состояние дворовых территорий</t>
  </si>
  <si>
    <t>153</t>
  </si>
  <si>
    <t>154</t>
  </si>
  <si>
    <t>0432406</t>
  </si>
  <si>
    <t>155</t>
  </si>
  <si>
    <t>156</t>
  </si>
  <si>
    <t>0410</t>
  </si>
  <si>
    <t>Связь и информатика</t>
  </si>
  <si>
    <t>157</t>
  </si>
  <si>
    <t>1200000</t>
  </si>
  <si>
    <t>Муниципальная программа «Информационное общество городского округа Нижняя Салда на 2014-2020 годы"</t>
  </si>
  <si>
    <t>158</t>
  </si>
  <si>
    <t>1210000</t>
  </si>
  <si>
    <t>Подпрограмма Совершенствование информационно-технической инфраструктуры</t>
  </si>
  <si>
    <t>159</t>
  </si>
  <si>
    <t>1213201</t>
  </si>
  <si>
    <t>Развитие и обеспечение эксплуатации единой компьютерной сети администрации</t>
  </si>
  <si>
    <t>160</t>
  </si>
  <si>
    <t>161</t>
  </si>
  <si>
    <t>1213203</t>
  </si>
  <si>
    <t>Внедрение элементов системы защиты информации в единой компьютерной сети</t>
  </si>
  <si>
    <t>162</t>
  </si>
  <si>
    <t>163</t>
  </si>
  <si>
    <t>1220000</t>
  </si>
  <si>
    <t>Подпрограмма Организация центров общественного доступа к сети Интеренет на базе общедоступных муниципальных библиотек</t>
  </si>
  <si>
    <t>164</t>
  </si>
  <si>
    <t>1223201</t>
  </si>
  <si>
    <t>Организация центров общественного доступа к сети Интеренет на базе общедоступных муниципальных библиотек</t>
  </si>
  <si>
    <t>165</t>
  </si>
  <si>
    <t>166</t>
  </si>
  <si>
    <t>1224140</t>
  </si>
  <si>
    <t>Организация центров общественного доступа к сети Интернет на базе общедоступных муниципальных библиотек за счет субсидий из областного бюджета</t>
  </si>
  <si>
    <t>167</t>
  </si>
  <si>
    <t>168</t>
  </si>
  <si>
    <t>1240000</t>
  </si>
  <si>
    <t>Внедрение инновационных технологий в работу органов местного самоуправления  городского округа.</t>
  </si>
  <si>
    <t>169</t>
  </si>
  <si>
    <t>1243201</t>
  </si>
  <si>
    <t>Приобретение компьютерной техники и лицензионного программного обеспечения</t>
  </si>
  <si>
    <t>170</t>
  </si>
  <si>
    <t>171</t>
  </si>
  <si>
    <t>1250000</t>
  </si>
  <si>
    <t>Подпрограмма Обеспечение подключения к единой сети передачи данных Правительства Свердловской области муниципальных учреждений</t>
  </si>
  <si>
    <t>172</t>
  </si>
  <si>
    <t>1253201</t>
  </si>
  <si>
    <t>Обеспечение подключения к единой сети передачи данных Правительства Свердловской области муниципальных учреждений</t>
  </si>
  <si>
    <t>173</t>
  </si>
  <si>
    <t>174</t>
  </si>
  <si>
    <t>1254140</t>
  </si>
  <si>
    <t>Обеспечение подключения к единой сети передачи данных Правительства Свердловской области муниципальных учреждений за счет субсидий из областного бюджета</t>
  </si>
  <si>
    <t>175</t>
  </si>
  <si>
    <t>176</t>
  </si>
  <si>
    <t>0412</t>
  </si>
  <si>
    <t>Другие вопросы в области национальной экономики</t>
  </si>
  <si>
    <t>177</t>
  </si>
  <si>
    <t>178</t>
  </si>
  <si>
    <t>0520000</t>
  </si>
  <si>
    <t>Подпрограмма Актуализация сведений государственного кадастра недвижимости в городском  округе  Нижняя Салда</t>
  </si>
  <si>
    <t>179</t>
  </si>
  <si>
    <t>0522305</t>
  </si>
  <si>
    <t>Проведение кадастровых работ  (проведение межевания земельных участков, постановка на государственный кадастровый учет)</t>
  </si>
  <si>
    <t>180</t>
  </si>
  <si>
    <t>181</t>
  </si>
  <si>
    <t>0522306</t>
  </si>
  <si>
    <t>Проведение работ по независимой оценке права аренды, собственности на земельные участки, предоставляемые под строительство на торгах</t>
  </si>
  <si>
    <t>182</t>
  </si>
  <si>
    <t>183</t>
  </si>
  <si>
    <t>0522307</t>
  </si>
  <si>
    <t>Проведение работ по формированию земельных участков, предоставляемых в собственность льготным категориям граждан</t>
  </si>
  <si>
    <t>184</t>
  </si>
  <si>
    <t>185</t>
  </si>
  <si>
    <t>0530000</t>
  </si>
  <si>
    <t>Подпрограмма Развитие градостроительной деятельности на территории городского округа Нижняя Салда до 2020 года</t>
  </si>
  <si>
    <t>186</t>
  </si>
  <si>
    <t>0532309</t>
  </si>
  <si>
    <t>Разработка проекта генерального плана города</t>
  </si>
  <si>
    <t>187</t>
  </si>
  <si>
    <t>188</t>
  </si>
  <si>
    <t>0532312</t>
  </si>
  <si>
    <t>Приобретение базовой программы ведения информационной системы градостроительной деятельности</t>
  </si>
  <si>
    <t>189</t>
  </si>
  <si>
    <t>190</t>
  </si>
  <si>
    <t>0532313</t>
  </si>
  <si>
    <t>Проведение работ по расширению границ с.Медведево, проведение межевания и создание карты-плана территории</t>
  </si>
  <si>
    <t>191</t>
  </si>
  <si>
    <t>192</t>
  </si>
  <si>
    <t>0532314</t>
  </si>
  <si>
    <t>193</t>
  </si>
  <si>
    <t>194</t>
  </si>
  <si>
    <t xml:space="preserve">Муниципальная программа «Развитие и поддержка  субъектов малого и среднего предпринимательства и
агропромышленного комплекса в городском округе  Нижняя Салда на 2014-2020 годы»
</t>
  </si>
  <si>
    <t>195</t>
  </si>
  <si>
    <t>1402301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</si>
  <si>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</si>
  <si>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196</t>
  </si>
  <si>
    <t>197</t>
  </si>
  <si>
    <t>1402302</t>
  </si>
  <si>
    <t>Организация и повышение квалификации  руководителей и сотрудников малых и средних   предприятий городского округа Нижняя Салда</t>
  </si>
  <si>
    <t>198</t>
  </si>
  <si>
    <t>199</t>
  </si>
  <si>
    <t>0500</t>
  </si>
  <si>
    <t>Жилищно-коммунальное хозяйство</t>
  </si>
  <si>
    <t>200</t>
  </si>
  <si>
    <t>0501</t>
  </si>
  <si>
    <t>Жилищное хозяйство</t>
  </si>
  <si>
    <t>201</t>
  </si>
  <si>
    <t>0300000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</si>
  <si>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2020 года»
</t>
  </si>
  <si>
    <t>202</t>
  </si>
  <si>
    <t>0310000</t>
  </si>
  <si>
    <t>Подпрограмма Развитие жилищного хозяйства в городском округе Нижняя Салда на 2014 – 2020 годы</t>
  </si>
  <si>
    <t>203</t>
  </si>
  <si>
    <t>0312301</t>
  </si>
  <si>
    <t>Взносы на капитальный ремонт общего имущества муниципального жилищного фонда в Региональный фонд</t>
  </si>
  <si>
    <t>204</t>
  </si>
  <si>
    <t>Уплата налогов, сборов и иных платежей</t>
  </si>
  <si>
    <t>205</t>
  </si>
  <si>
    <t>0312304</t>
  </si>
  <si>
    <t>206</t>
  </si>
  <si>
    <t>207</t>
  </si>
  <si>
    <t>0502</t>
  </si>
  <si>
    <t>Коммунальное хозяйство</t>
  </si>
  <si>
    <t>208</t>
  </si>
  <si>
    <t>209</t>
  </si>
  <si>
    <t>0320000</t>
  </si>
  <si>
    <t>Подпрограмма Развитие коммунального хозяйства в городском округе Нижняя Салда на 2014 – 2020 годы</t>
  </si>
  <si>
    <t>210</t>
  </si>
  <si>
    <t>0322303</t>
  </si>
  <si>
    <t>211</t>
  </si>
  <si>
    <t>212</t>
  </si>
  <si>
    <t>0360000</t>
  </si>
  <si>
    <t>Подпрограмма Энергосбережение и повышение энергетической эффективности в городском округе Нижняя Салда на 2014 – 2020 годы</t>
  </si>
  <si>
    <t>213</t>
  </si>
  <si>
    <t>0362302</t>
  </si>
  <si>
    <t>Мероприятия направленные на энергосбережение и повышение энергетической эффективности в муниципальной сфере</t>
  </si>
  <si>
    <t>214</t>
  </si>
  <si>
    <t>215</t>
  </si>
  <si>
    <t>0362303</t>
  </si>
  <si>
    <t>Оснащение многоквартирных домов  приборами учета потребления энергетических ресурсов</t>
  </si>
  <si>
    <t>216</t>
  </si>
  <si>
    <t>217</t>
  </si>
  <si>
    <t>0364290</t>
  </si>
  <si>
    <t>Субсидии из областного бюджета на 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</si>
  <si>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218</t>
  </si>
  <si>
    <t>219</t>
  </si>
  <si>
    <t>0362304</t>
  </si>
  <si>
    <t>220</t>
  </si>
  <si>
    <t>221</t>
  </si>
  <si>
    <t>222</t>
  </si>
  <si>
    <t>0370000</t>
  </si>
  <si>
    <t>Подпрограмма Модернизация жилищно-коммунального хозяйства для улучшения качества коммунальных услуг для населения городского округа Нижняя Салда</t>
  </si>
  <si>
    <t>223</t>
  </si>
  <si>
    <t>0372301</t>
  </si>
  <si>
    <t>Приобретение коммунальной техники</t>
  </si>
  <si>
    <t>224</t>
  </si>
  <si>
    <t>225</t>
  </si>
  <si>
    <t>0372302</t>
  </si>
  <si>
    <t>Модернизации объектов инженерной инфраструктуры и модернизация существующих систем объектов коммунальной инфраструктуры</t>
  </si>
  <si>
    <t>226</t>
  </si>
  <si>
    <t>227</t>
  </si>
  <si>
    <t>0503</t>
  </si>
  <si>
    <t>Благоустройство</t>
  </si>
  <si>
    <t>228</t>
  </si>
  <si>
    <t>229</t>
  </si>
  <si>
    <t>0330000</t>
  </si>
  <si>
    <t>Подпрограмма Развитие благоустройства в городском округе Нижняя Салда 2014-2020 годах</t>
  </si>
  <si>
    <t>230</t>
  </si>
  <si>
    <t>0332301</t>
  </si>
  <si>
    <t>Мероприятия по содержанию уличного освещения, оплата электроэнергии</t>
  </si>
  <si>
    <t>231</t>
  </si>
  <si>
    <t>232</t>
  </si>
  <si>
    <t>0332303</t>
  </si>
  <si>
    <t xml:space="preserve">Санитарная уборка городского округа Нижняя Салда </t>
  </si>
  <si>
    <t>233</t>
  </si>
  <si>
    <t>234</t>
  </si>
  <si>
    <t>0332305</t>
  </si>
  <si>
    <t>Комплекс работ по благоустройству территории городского округа Нижняя Салда</t>
  </si>
  <si>
    <t>235</t>
  </si>
  <si>
    <t>236</t>
  </si>
  <si>
    <t>0332307</t>
  </si>
  <si>
    <t>Уборка несанкционированных свалок</t>
  </si>
  <si>
    <t>237</t>
  </si>
  <si>
    <t>238</t>
  </si>
  <si>
    <t>0332308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</si>
</sst>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_);_(* \(#,##0\);_(* \-??_);_(@_)"/>
    <numFmt numFmtId="189" formatCode="_-* #,##0.0_р_._-;\-* #,##0.0_р_._-;_-* &quot;-&quot;?_р_._-;_-@_-"/>
    <numFmt numFmtId="190" formatCode="0.000000"/>
    <numFmt numFmtId="191" formatCode="0.0000"/>
    <numFmt numFmtId="192" formatCode="#,##0.00_р_."/>
    <numFmt numFmtId="193" formatCode="_(* #,##0.00_);_(* \(#,##0.00\);_(* \-??_);_(@_)"/>
    <numFmt numFmtId="194" formatCode="_-* #,##0.00_р_._-;\-* #,##0.00_р_._-;_-* \-??_р_._-;_-@_-"/>
    <numFmt numFmtId="195" formatCode="000000"/>
    <numFmt numFmtId="196" formatCode="_-* #,##0.000_р_._-;\-* #,##0.000_р_._-;_-* \-??_р_._-;_-@_-"/>
    <numFmt numFmtId="197" formatCode="[$-FC19]d\ mmmm\ yyyy\ &quot;г.&quot;"/>
    <numFmt numFmtId="198" formatCode="#,##0.00_ ;\-#,##0.00\ "/>
    <numFmt numFmtId="199" formatCode="#,##0.00&quot;р.&quot;"/>
  </numFmts>
  <fonts count="62">
    <font>
      <sz val="10"/>
      <name val="Arial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36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b/>
      <sz val="14"/>
      <color indexed="56"/>
      <name val="Times New Roman"/>
      <family val="1"/>
    </font>
    <font>
      <i/>
      <sz val="10"/>
      <name val="Arial"/>
      <family val="2"/>
    </font>
    <font>
      <sz val="12"/>
      <color indexed="56"/>
      <name val="Times New Roman"/>
      <family val="1"/>
    </font>
    <font>
      <b/>
      <i/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22" fillId="0" borderId="16" xfId="0" applyNumberFormat="1" applyFont="1" applyFill="1" applyBorder="1" applyAlignment="1">
      <alignment/>
    </xf>
    <xf numFmtId="0" fontId="22" fillId="0" borderId="17" xfId="0" applyNumberFormat="1" applyFont="1" applyFill="1" applyBorder="1" applyAlignment="1">
      <alignment/>
    </xf>
    <xf numFmtId="0" fontId="22" fillId="0" borderId="18" xfId="0" applyNumberFormat="1" applyFont="1" applyFill="1" applyBorder="1" applyAlignment="1">
      <alignment/>
    </xf>
    <xf numFmtId="0" fontId="22" fillId="0" borderId="16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4" fontId="22" fillId="0" borderId="11" xfId="0" applyNumberFormat="1" applyFont="1" applyFill="1" applyBorder="1" applyAlignment="1">
      <alignment/>
    </xf>
    <xf numFmtId="192" fontId="22" fillId="0" borderId="1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7" fillId="0" borderId="16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22" fillId="0" borderId="16" xfId="0" applyNumberFormat="1" applyFont="1" applyFill="1" applyBorder="1" applyAlignment="1">
      <alignment horizontal="left" wrapText="1"/>
    </xf>
    <xf numFmtId="0" fontId="22" fillId="0" borderId="17" xfId="0" applyNumberFormat="1" applyFont="1" applyFill="1" applyBorder="1" applyAlignment="1">
      <alignment horizontal="left" wrapText="1"/>
    </xf>
    <xf numFmtId="0" fontId="22" fillId="0" borderId="18" xfId="0" applyNumberFormat="1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left" wrapText="1"/>
    </xf>
    <xf numFmtId="0" fontId="26" fillId="0" borderId="16" xfId="0" applyNumberFormat="1" applyFont="1" applyFill="1" applyBorder="1" applyAlignment="1">
      <alignment/>
    </xf>
    <xf numFmtId="0" fontId="26" fillId="0" borderId="17" xfId="0" applyNumberFormat="1" applyFont="1" applyFill="1" applyBorder="1" applyAlignment="1">
      <alignment/>
    </xf>
    <xf numFmtId="0" fontId="26" fillId="0" borderId="18" xfId="0" applyNumberFormat="1" applyFont="1" applyFill="1" applyBorder="1" applyAlignment="1">
      <alignment/>
    </xf>
    <xf numFmtId="0" fontId="26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4" fontId="26" fillId="0" borderId="12" xfId="0" applyNumberFormat="1" applyFont="1" applyFill="1" applyBorder="1" applyAlignment="1">
      <alignment/>
    </xf>
    <xf numFmtId="192" fontId="26" fillId="0" borderId="11" xfId="0" applyNumberFormat="1" applyFont="1" applyFill="1" applyBorder="1" applyAlignment="1">
      <alignment/>
    </xf>
    <xf numFmtId="0" fontId="26" fillId="0" borderId="16" xfId="0" applyNumberFormat="1" applyFont="1" applyFill="1" applyBorder="1" applyAlignment="1">
      <alignment horizontal="left"/>
    </xf>
    <xf numFmtId="0" fontId="26" fillId="0" borderId="17" xfId="0" applyNumberFormat="1" applyFont="1" applyFill="1" applyBorder="1" applyAlignment="1">
      <alignment horizontal="left"/>
    </xf>
    <xf numFmtId="0" fontId="26" fillId="0" borderId="18" xfId="0" applyNumberFormat="1" applyFont="1" applyFill="1" applyBorder="1" applyAlignment="1">
      <alignment horizontal="left"/>
    </xf>
    <xf numFmtId="0" fontId="26" fillId="0" borderId="16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 horizontal="left" wrapText="1"/>
    </xf>
    <xf numFmtId="4" fontId="26" fillId="0" borderId="11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6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29" fillId="0" borderId="17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6" xfId="0" applyFont="1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192" fontId="26" fillId="0" borderId="11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wrapText="1"/>
    </xf>
    <xf numFmtId="0" fontId="28" fillId="0" borderId="18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 wrapText="1"/>
    </xf>
    <xf numFmtId="192" fontId="26" fillId="0" borderId="11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30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4" fontId="26" fillId="0" borderId="11" xfId="0" applyNumberFormat="1" applyFont="1" applyFill="1" applyBorder="1" applyAlignment="1">
      <alignment wrapText="1"/>
    </xf>
    <xf numFmtId="192" fontId="26" fillId="0" borderId="18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22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17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192" fontId="26" fillId="0" borderId="10" xfId="0" applyNumberFormat="1" applyFont="1" applyFill="1" applyBorder="1" applyAlignment="1">
      <alignment/>
    </xf>
    <xf numFmtId="0" fontId="22" fillId="0" borderId="17" xfId="0" applyFont="1" applyFill="1" applyBorder="1" applyAlignment="1">
      <alignment wrapText="1"/>
    </xf>
    <xf numFmtId="0" fontId="30" fillId="0" borderId="17" xfId="0" applyFont="1" applyFill="1" applyBorder="1" applyAlignment="1">
      <alignment wrapText="1"/>
    </xf>
    <xf numFmtId="0" fontId="30" fillId="0" borderId="17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4" fontId="22" fillId="0" borderId="11" xfId="59" applyNumberFormat="1" applyFont="1" applyFill="1" applyBorder="1" applyAlignment="1">
      <alignment/>
    </xf>
    <xf numFmtId="0" fontId="26" fillId="0" borderId="16" xfId="0" applyNumberFormat="1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/>
    </xf>
    <xf numFmtId="0" fontId="26" fillId="0" borderId="19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left" wrapText="1"/>
    </xf>
    <xf numFmtId="0" fontId="26" fillId="0" borderId="21" xfId="0" applyFont="1" applyFill="1" applyBorder="1" applyAlignment="1">
      <alignment horizontal="left" wrapText="1"/>
    </xf>
    <xf numFmtId="4" fontId="26" fillId="0" borderId="10" xfId="0" applyNumberFormat="1" applyFont="1" applyFill="1" applyBorder="1" applyAlignment="1">
      <alignment/>
    </xf>
    <xf numFmtId="0" fontId="22" fillId="0" borderId="16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6" fillId="0" borderId="21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18" xfId="0" applyFont="1" applyFill="1" applyBorder="1" applyAlignment="1">
      <alignment horizontal="left" wrapText="1"/>
    </xf>
    <xf numFmtId="192" fontId="26" fillId="0" borderId="21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192" fontId="26" fillId="0" borderId="21" xfId="0" applyNumberFormat="1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192" fontId="22" fillId="0" borderId="25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192" fontId="35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33" fillId="0" borderId="0" xfId="0" applyFont="1" applyFill="1" applyBorder="1" applyAlignment="1">
      <alignment wrapText="1"/>
    </xf>
    <xf numFmtId="19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192" fontId="3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wrapText="1"/>
    </xf>
    <xf numFmtId="0" fontId="36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192" fontId="37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7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36" fillId="0" borderId="0" xfId="54" applyNumberFormat="1" applyFont="1" applyFill="1" applyAlignment="1">
      <alignment horizontal="center" vertical="top"/>
      <protection/>
    </xf>
    <xf numFmtId="49" fontId="36" fillId="0" borderId="0" xfId="54" applyNumberFormat="1" applyFont="1" applyFill="1" applyAlignment="1">
      <alignment horizontal="center" vertical="top" wrapText="1"/>
      <protection/>
    </xf>
    <xf numFmtId="0" fontId="36" fillId="0" borderId="0" xfId="54" applyNumberFormat="1" applyFont="1" applyFill="1" applyAlignment="1">
      <alignment horizontal="left" vertical="top" wrapText="1"/>
      <protection/>
    </xf>
    <xf numFmtId="194" fontId="36" fillId="0" borderId="0" xfId="64" applyNumberFormat="1" applyFont="1" applyFill="1" applyBorder="1" applyAlignment="1" applyProtection="1">
      <alignment wrapText="1"/>
      <protection/>
    </xf>
    <xf numFmtId="0" fontId="36" fillId="0" borderId="0" xfId="54" applyFont="1" applyFill="1" applyBorder="1">
      <alignment/>
      <protection/>
    </xf>
    <xf numFmtId="0" fontId="36" fillId="0" borderId="0" xfId="54" applyFont="1" applyFill="1">
      <alignment/>
      <protection/>
    </xf>
    <xf numFmtId="49" fontId="23" fillId="0" borderId="26" xfId="53" applyNumberFormat="1" applyFont="1" applyFill="1" applyBorder="1" applyAlignment="1">
      <alignment horizontal="center" vertical="top"/>
      <protection/>
    </xf>
    <xf numFmtId="0" fontId="23" fillId="0" borderId="26" xfId="53" applyNumberFormat="1" applyFont="1" applyFill="1" applyBorder="1" applyAlignment="1">
      <alignment horizontal="left" vertical="top" wrapText="1"/>
      <protection/>
    </xf>
    <xf numFmtId="194" fontId="23" fillId="0" borderId="27" xfId="64" applyNumberFormat="1" applyFont="1" applyFill="1" applyBorder="1" applyAlignment="1" applyProtection="1">
      <alignment horizontal="right"/>
      <protection/>
    </xf>
    <xf numFmtId="0" fontId="36" fillId="0" borderId="0" xfId="54" applyFont="1" applyFill="1" applyBorder="1" applyAlignment="1">
      <alignment/>
      <protection/>
    </xf>
    <xf numFmtId="0" fontId="36" fillId="0" borderId="0" xfId="54" applyFont="1" applyFill="1" applyAlignment="1">
      <alignment/>
      <protection/>
    </xf>
    <xf numFmtId="49" fontId="56" fillId="0" borderId="0" xfId="54" applyNumberFormat="1" applyFont="1" applyFill="1" applyBorder="1" applyAlignment="1">
      <alignment horizontal="center" vertical="top" wrapText="1"/>
      <protection/>
    </xf>
    <xf numFmtId="0" fontId="36" fillId="0" borderId="0" xfId="54" applyFont="1" applyFill="1" applyAlignment="1">
      <alignment horizontal="right"/>
      <protection/>
    </xf>
    <xf numFmtId="0" fontId="55" fillId="0" borderId="26" xfId="53" applyFont="1" applyFill="1" applyBorder="1" applyAlignment="1">
      <alignment horizontal="center" vertical="top" wrapText="1"/>
      <protection/>
    </xf>
    <xf numFmtId="49" fontId="57" fillId="0" borderId="26" xfId="53" applyNumberFormat="1" applyFont="1" applyFill="1" applyBorder="1" applyAlignment="1" applyProtection="1">
      <alignment horizontal="center" vertical="top" wrapText="1"/>
      <protection locked="0"/>
    </xf>
    <xf numFmtId="49" fontId="55" fillId="0" borderId="26" xfId="53" applyNumberFormat="1" applyFont="1" applyFill="1" applyBorder="1" applyAlignment="1" applyProtection="1">
      <alignment horizontal="center" vertical="top" wrapText="1"/>
      <protection locked="0"/>
    </xf>
    <xf numFmtId="0" fontId="55" fillId="0" borderId="26" xfId="53" applyFont="1" applyFill="1" applyBorder="1" applyAlignment="1" applyProtection="1">
      <alignment horizontal="center" vertical="top" wrapText="1"/>
      <protection locked="0"/>
    </xf>
    <xf numFmtId="194" fontId="55" fillId="0" borderId="26" xfId="64" applyNumberFormat="1" applyFont="1" applyFill="1" applyBorder="1" applyAlignment="1" applyProtection="1">
      <alignment horizontal="center" vertical="top" wrapText="1"/>
      <protection/>
    </xf>
    <xf numFmtId="194" fontId="55" fillId="0" borderId="27" xfId="64" applyNumberFormat="1" applyFont="1" applyFill="1" applyBorder="1" applyAlignment="1" applyProtection="1">
      <alignment horizontal="center" vertical="top" wrapText="1"/>
      <protection/>
    </xf>
    <xf numFmtId="194" fontId="55" fillId="0" borderId="10" xfId="64" applyNumberFormat="1" applyFont="1" applyFill="1" applyBorder="1" applyAlignment="1" applyProtection="1">
      <alignment horizontal="center" vertical="top" wrapText="1"/>
      <protection/>
    </xf>
    <xf numFmtId="0" fontId="37" fillId="0" borderId="0" xfId="54" applyFont="1" applyFill="1" applyAlignment="1">
      <alignment wrapText="1"/>
      <protection/>
    </xf>
    <xf numFmtId="49" fontId="37" fillId="0" borderId="26" xfId="53" applyNumberFormat="1" applyFont="1" applyFill="1" applyBorder="1" applyAlignment="1">
      <alignment horizontal="center"/>
      <protection/>
    </xf>
    <xf numFmtId="0" fontId="37" fillId="0" borderId="28" xfId="54" applyNumberFormat="1" applyFont="1" applyFill="1" applyBorder="1" applyAlignment="1">
      <alignment horizontal="center" wrapText="1"/>
      <protection/>
    </xf>
    <xf numFmtId="0" fontId="37" fillId="0" borderId="10" xfId="54" applyNumberFormat="1" applyFont="1" applyFill="1" applyBorder="1" applyAlignment="1">
      <alignment horizontal="center" wrapText="1"/>
      <protection/>
    </xf>
    <xf numFmtId="49" fontId="23" fillId="0" borderId="26" xfId="53" applyNumberFormat="1" applyFont="1" applyFill="1" applyBorder="1" applyAlignment="1">
      <alignment horizontal="center" vertical="center"/>
      <protection/>
    </xf>
    <xf numFmtId="49" fontId="55" fillId="0" borderId="26" xfId="53" applyNumberFormat="1" applyFont="1" applyFill="1" applyBorder="1" applyAlignment="1">
      <alignment horizontal="center" vertical="center"/>
      <protection/>
    </xf>
    <xf numFmtId="49" fontId="55" fillId="0" borderId="27" xfId="53" applyNumberFormat="1" applyFont="1" applyFill="1" applyBorder="1" applyAlignment="1">
      <alignment horizontal="center" vertical="center"/>
      <protection/>
    </xf>
    <xf numFmtId="0" fontId="55" fillId="0" borderId="27" xfId="53" applyNumberFormat="1" applyFont="1" applyFill="1" applyBorder="1" applyAlignment="1">
      <alignment horizontal="left" vertical="top" wrapText="1"/>
      <protection/>
    </xf>
    <xf numFmtId="4" fontId="55" fillId="0" borderId="27" xfId="64" applyNumberFormat="1" applyFont="1" applyFill="1" applyBorder="1" applyAlignment="1" applyProtection="1">
      <alignment horizontal="center" vertical="center"/>
      <protection/>
    </xf>
    <xf numFmtId="2" fontId="57" fillId="0" borderId="11" xfId="54" applyNumberFormat="1" applyFont="1" applyFill="1" applyBorder="1" applyAlignment="1">
      <alignment horizontal="center" vertical="center"/>
      <protection/>
    </xf>
    <xf numFmtId="4" fontId="37" fillId="0" borderId="0" xfId="54" applyNumberFormat="1" applyFont="1" applyFill="1" applyAlignment="1">
      <alignment wrapText="1"/>
      <protection/>
    </xf>
    <xf numFmtId="0" fontId="55" fillId="0" borderId="26" xfId="53" applyNumberFormat="1" applyFont="1" applyFill="1" applyBorder="1" applyAlignment="1">
      <alignment horizontal="left" vertical="top" wrapText="1"/>
      <protection/>
    </xf>
    <xf numFmtId="0" fontId="37" fillId="0" borderId="0" xfId="54" applyFont="1" applyFill="1">
      <alignment/>
      <protection/>
    </xf>
    <xf numFmtId="4" fontId="23" fillId="0" borderId="27" xfId="64" applyNumberFormat="1" applyFont="1" applyFill="1" applyBorder="1" applyAlignment="1" applyProtection="1">
      <alignment horizontal="center" vertical="center"/>
      <protection/>
    </xf>
    <xf numFmtId="2" fontId="58" fillId="0" borderId="11" xfId="54" applyNumberFormat="1" applyFont="1" applyFill="1" applyBorder="1" applyAlignment="1">
      <alignment horizontal="center" vertical="center"/>
      <protection/>
    </xf>
    <xf numFmtId="4" fontId="23" fillId="0" borderId="11" xfId="54" applyNumberFormat="1" applyFont="1" applyFill="1" applyBorder="1" applyAlignment="1">
      <alignment horizontal="center" vertical="center"/>
      <protection/>
    </xf>
    <xf numFmtId="0" fontId="59" fillId="0" borderId="0" xfId="54" applyFont="1" applyFill="1">
      <alignment/>
      <protection/>
    </xf>
    <xf numFmtId="49" fontId="23" fillId="0" borderId="27" xfId="53" applyNumberFormat="1" applyFont="1" applyFill="1" applyBorder="1" applyAlignment="1">
      <alignment horizontal="center" vertical="center"/>
      <protection/>
    </xf>
    <xf numFmtId="4" fontId="23" fillId="0" borderId="27" xfId="54" applyNumberFormat="1" applyFont="1" applyFill="1" applyBorder="1" applyAlignment="1">
      <alignment horizontal="center" vertical="center" wrapText="1"/>
      <protection/>
    </xf>
    <xf numFmtId="49" fontId="23" fillId="0" borderId="27" xfId="54" applyNumberFormat="1" applyFont="1" applyFill="1" applyBorder="1" applyAlignment="1">
      <alignment horizontal="center" vertical="center"/>
      <protection/>
    </xf>
    <xf numFmtId="2" fontId="23" fillId="0" borderId="11" xfId="54" applyNumberFormat="1" applyFont="1" applyFill="1" applyBorder="1" applyAlignment="1">
      <alignment horizontal="center" vertical="center"/>
      <protection/>
    </xf>
    <xf numFmtId="0" fontId="23" fillId="0" borderId="26" xfId="54" applyFont="1" applyFill="1" applyBorder="1" applyAlignment="1">
      <alignment horizontal="left" vertical="top" wrapText="1"/>
      <protection/>
    </xf>
    <xf numFmtId="0" fontId="23" fillId="0" borderId="27" xfId="53" applyNumberFormat="1" applyFont="1" applyFill="1" applyBorder="1" applyAlignment="1">
      <alignment horizontal="left" vertical="top" wrapText="1"/>
      <protection/>
    </xf>
    <xf numFmtId="2" fontId="55" fillId="0" borderId="11" xfId="54" applyNumberFormat="1" applyFont="1" applyFill="1" applyBorder="1" applyAlignment="1">
      <alignment horizontal="center" vertical="center"/>
      <protection/>
    </xf>
    <xf numFmtId="4" fontId="36" fillId="0" borderId="0" xfId="54" applyNumberFormat="1" applyFont="1" applyFill="1">
      <alignment/>
      <protection/>
    </xf>
    <xf numFmtId="0" fontId="23" fillId="0" borderId="26" xfId="54" applyNumberFormat="1" applyFont="1" applyFill="1" applyBorder="1" applyAlignment="1">
      <alignment horizontal="left" vertical="top" wrapText="1"/>
      <protection/>
    </xf>
    <xf numFmtId="49" fontId="23" fillId="0" borderId="27" xfId="53" applyNumberFormat="1" applyFont="1" applyFill="1" applyBorder="1" applyAlignment="1">
      <alignment horizontal="center" vertical="top"/>
      <protection/>
    </xf>
    <xf numFmtId="0" fontId="23" fillId="0" borderId="26" xfId="54" applyFont="1" applyFill="1" applyBorder="1" applyAlignment="1">
      <alignment wrapText="1"/>
      <protection/>
    </xf>
    <xf numFmtId="4" fontId="23" fillId="0" borderId="29" xfId="54" applyNumberFormat="1" applyFont="1" applyFill="1" applyBorder="1" applyAlignment="1">
      <alignment horizontal="center" vertical="center" wrapText="1"/>
      <protection/>
    </xf>
    <xf numFmtId="4" fontId="23" fillId="0" borderId="28" xfId="54" applyNumberFormat="1" applyFont="1" applyFill="1" applyBorder="1" applyAlignment="1">
      <alignment horizontal="center" vertical="center" wrapText="1"/>
      <protection/>
    </xf>
    <xf numFmtId="4" fontId="23" fillId="0" borderId="11" xfId="54" applyNumberFormat="1" applyFont="1" applyFill="1" applyBorder="1" applyAlignment="1">
      <alignment horizontal="center" vertical="center" wrapText="1"/>
      <protection/>
    </xf>
    <xf numFmtId="4" fontId="23" fillId="0" borderId="0" xfId="54" applyNumberFormat="1" applyFont="1" applyFill="1" applyBorder="1" applyAlignment="1">
      <alignment horizontal="center" vertical="center"/>
      <protection/>
    </xf>
    <xf numFmtId="0" fontId="55" fillId="0" borderId="26" xfId="54" applyFont="1" applyFill="1" applyBorder="1" applyAlignment="1">
      <alignment vertical="center" wrapText="1"/>
      <protection/>
    </xf>
    <xf numFmtId="0" fontId="36" fillId="0" borderId="0" xfId="54" applyFont="1" applyFill="1" applyAlignment="1">
      <alignment wrapText="1"/>
      <protection/>
    </xf>
    <xf numFmtId="0" fontId="23" fillId="0" borderId="26" xfId="53" applyNumberFormat="1" applyFont="1" applyFill="1" applyBorder="1" applyAlignment="1">
      <alignment horizontal="left" vertical="center" wrapText="1"/>
      <protection/>
    </xf>
    <xf numFmtId="0" fontId="55" fillId="0" borderId="26" xfId="54" applyFont="1" applyFill="1" applyBorder="1">
      <alignment/>
      <protection/>
    </xf>
    <xf numFmtId="4" fontId="23" fillId="0" borderId="27" xfId="64" applyNumberFormat="1" applyFont="1" applyFill="1" applyBorder="1" applyAlignment="1" applyProtection="1">
      <alignment horizontal="center" vertical="center" wrapText="1"/>
      <protection/>
    </xf>
    <xf numFmtId="49" fontId="55" fillId="0" borderId="26" xfId="53" applyNumberFormat="1" applyFont="1" applyFill="1" applyBorder="1" applyAlignment="1">
      <alignment horizontal="center" vertical="top"/>
      <protection/>
    </xf>
    <xf numFmtId="49" fontId="55" fillId="0" borderId="27" xfId="53" applyNumberFormat="1" applyFont="1" applyFill="1" applyBorder="1" applyAlignment="1">
      <alignment horizontal="center" vertical="top"/>
      <protection/>
    </xf>
    <xf numFmtId="0" fontId="23" fillId="0" borderId="26" xfId="54" applyFont="1" applyFill="1" applyBorder="1" applyAlignment="1">
      <alignment vertical="center" wrapText="1"/>
      <protection/>
    </xf>
    <xf numFmtId="0" fontId="55" fillId="0" borderId="26" xfId="54" applyFont="1" applyFill="1" applyBorder="1" applyAlignment="1">
      <alignment horizontal="left" vertical="center" wrapText="1"/>
      <protection/>
    </xf>
    <xf numFmtId="4" fontId="23" fillId="0" borderId="27" xfId="64" applyNumberFormat="1" applyFont="1" applyFill="1" applyBorder="1" applyAlignment="1" applyProtection="1">
      <alignment horizontal="center" vertical="center" shrinkToFit="1"/>
      <protection/>
    </xf>
    <xf numFmtId="4" fontId="23" fillId="0" borderId="28" xfId="64" applyNumberFormat="1" applyFont="1" applyFill="1" applyBorder="1" applyAlignment="1" applyProtection="1">
      <alignment horizontal="center" vertical="center"/>
      <protection/>
    </xf>
    <xf numFmtId="0" fontId="23" fillId="0" borderId="26" xfId="54" applyFont="1" applyFill="1" applyBorder="1" applyAlignment="1">
      <alignment horizontal="left" vertical="center" wrapText="1"/>
      <protection/>
    </xf>
    <xf numFmtId="49" fontId="23" fillId="0" borderId="28" xfId="53" applyNumberFormat="1" applyFont="1" applyFill="1" applyBorder="1" applyAlignment="1">
      <alignment horizontal="center" vertical="center"/>
      <protection/>
    </xf>
    <xf numFmtId="49" fontId="23" fillId="0" borderId="11" xfId="53" applyNumberFormat="1" applyFont="1" applyFill="1" applyBorder="1" applyAlignment="1">
      <alignment horizontal="center" vertical="center"/>
      <protection/>
    </xf>
    <xf numFmtId="0" fontId="23" fillId="0" borderId="0" xfId="54" applyFont="1" applyFill="1" applyAlignment="1">
      <alignment horizontal="left" vertical="top"/>
      <protection/>
    </xf>
    <xf numFmtId="49" fontId="23" fillId="0" borderId="29" xfId="53" applyNumberFormat="1" applyFont="1" applyFill="1" applyBorder="1" applyAlignment="1">
      <alignment horizontal="center" vertical="center"/>
      <protection/>
    </xf>
    <xf numFmtId="0" fontId="23" fillId="0" borderId="27" xfId="54" applyFont="1" applyFill="1" applyBorder="1" applyAlignment="1">
      <alignment horizontal="left" vertical="top" wrapText="1"/>
      <protection/>
    </xf>
    <xf numFmtId="4" fontId="36" fillId="0" borderId="0" xfId="54" applyNumberFormat="1" applyFont="1" applyFill="1" applyAlignment="1">
      <alignment wrapText="1"/>
      <protection/>
    </xf>
    <xf numFmtId="4" fontId="23" fillId="0" borderId="0" xfId="54" applyNumberFormat="1" applyFont="1" applyFill="1" applyBorder="1" applyAlignment="1">
      <alignment horizontal="center" vertical="center" wrapText="1"/>
      <protection/>
    </xf>
    <xf numFmtId="49" fontId="23" fillId="0" borderId="26" xfId="54" applyNumberFormat="1" applyFont="1" applyFill="1" applyBorder="1" applyAlignment="1">
      <alignment horizontal="left" vertical="top" wrapText="1"/>
      <protection/>
    </xf>
    <xf numFmtId="4" fontId="23" fillId="0" borderId="29" xfId="64" applyNumberFormat="1" applyFont="1" applyFill="1" applyBorder="1" applyAlignment="1" applyProtection="1">
      <alignment horizontal="center" vertical="center"/>
      <protection/>
    </xf>
    <xf numFmtId="4" fontId="23" fillId="0" borderId="11" xfId="64" applyNumberFormat="1" applyFont="1" applyFill="1" applyBorder="1" applyAlignment="1" applyProtection="1">
      <alignment horizontal="center" vertical="center"/>
      <protection/>
    </xf>
    <xf numFmtId="0" fontId="23" fillId="0" borderId="16" xfId="54" applyFont="1" applyFill="1" applyBorder="1" applyAlignment="1">
      <alignment horizontal="left" wrapText="1"/>
      <protection/>
    </xf>
    <xf numFmtId="0" fontId="23" fillId="0" borderId="0" xfId="54" applyFont="1" applyFill="1" applyAlignment="1">
      <alignment horizontal="left" vertical="top" wrapText="1"/>
      <protection/>
    </xf>
    <xf numFmtId="4" fontId="55" fillId="0" borderId="29" xfId="64" applyNumberFormat="1" applyFont="1" applyFill="1" applyBorder="1" applyAlignment="1" applyProtection="1">
      <alignment horizontal="center" vertical="center"/>
      <protection/>
    </xf>
    <xf numFmtId="0" fontId="23" fillId="0" borderId="30" xfId="53" applyNumberFormat="1" applyFont="1" applyFill="1" applyBorder="1" applyAlignment="1">
      <alignment horizontal="left" vertical="top" wrapText="1"/>
      <protection/>
    </xf>
    <xf numFmtId="0" fontId="55" fillId="0" borderId="26" xfId="54" applyFont="1" applyFill="1" applyBorder="1" applyAlignment="1">
      <alignment horizontal="left" vertical="top" wrapText="1"/>
      <protection/>
    </xf>
    <xf numFmtId="4" fontId="55" fillId="0" borderId="27" xfId="54" applyNumberFormat="1" applyFont="1" applyFill="1" applyBorder="1" applyAlignment="1">
      <alignment horizontal="center" vertical="center" wrapText="1"/>
      <protection/>
    </xf>
    <xf numFmtId="4" fontId="23" fillId="24" borderId="27" xfId="64" applyNumberFormat="1" applyFont="1" applyFill="1" applyBorder="1" applyAlignment="1" applyProtection="1">
      <alignment horizontal="center" vertical="center"/>
      <protection/>
    </xf>
    <xf numFmtId="47" fontId="23" fillId="0" borderId="26" xfId="54" applyNumberFormat="1" applyFont="1" applyFill="1" applyBorder="1" applyAlignment="1">
      <alignment horizontal="left" vertical="top" wrapText="1"/>
      <protection/>
    </xf>
    <xf numFmtId="49" fontId="23" fillId="0" borderId="26" xfId="54" applyNumberFormat="1" applyFont="1" applyFill="1" applyBorder="1" applyAlignment="1">
      <alignment horizontal="center" vertical="center"/>
      <protection/>
    </xf>
    <xf numFmtId="195" fontId="23" fillId="0" borderId="26" xfId="54" applyNumberFormat="1" applyFont="1" applyFill="1" applyBorder="1" applyAlignment="1">
      <alignment horizontal="left" vertical="top" wrapText="1"/>
      <protection/>
    </xf>
    <xf numFmtId="0" fontId="55" fillId="0" borderId="26" xfId="53" applyNumberFormat="1" applyFont="1" applyFill="1" applyBorder="1" applyAlignment="1">
      <alignment horizontal="left" vertical="center" wrapText="1"/>
      <protection/>
    </xf>
    <xf numFmtId="49" fontId="55" fillId="0" borderId="26" xfId="54" applyNumberFormat="1" applyFont="1" applyFill="1" applyBorder="1" applyAlignment="1">
      <alignment horizontal="center" vertical="center"/>
      <protection/>
    </xf>
    <xf numFmtId="49" fontId="23" fillId="0" borderId="26" xfId="54" applyNumberFormat="1" applyFont="1" applyFill="1" applyBorder="1" applyAlignment="1">
      <alignment horizontal="center" vertical="top"/>
      <protection/>
    </xf>
    <xf numFmtId="0" fontId="55" fillId="0" borderId="26" xfId="54" applyNumberFormat="1" applyFont="1" applyFill="1" applyBorder="1" applyAlignment="1">
      <alignment horizontal="left" vertical="top" wrapText="1"/>
      <protection/>
    </xf>
    <xf numFmtId="194" fontId="36" fillId="0" borderId="0" xfId="64" applyNumberFormat="1" applyFont="1" applyFill="1" applyBorder="1" applyAlignment="1" applyProtection="1">
      <alignment/>
      <protection/>
    </xf>
    <xf numFmtId="4" fontId="23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55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wrapText="1"/>
    </xf>
    <xf numFmtId="4" fontId="55" fillId="0" borderId="11" xfId="0" applyNumberFormat="1" applyFont="1" applyFill="1" applyBorder="1" applyAlignment="1">
      <alignment horizontal="center" wrapText="1"/>
    </xf>
    <xf numFmtId="2" fontId="55" fillId="0" borderId="11" xfId="0" applyNumberFormat="1" applyFont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wrapText="1"/>
    </xf>
    <xf numFmtId="4" fontId="23" fillId="0" borderId="11" xfId="0" applyNumberFormat="1" applyFont="1" applyFill="1" applyBorder="1" applyAlignment="1">
      <alignment horizontal="center" wrapText="1"/>
    </xf>
    <xf numFmtId="4" fontId="23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0" fontId="23" fillId="0" borderId="11" xfId="0" applyFont="1" applyFill="1" applyBorder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/>
    </xf>
    <xf numFmtId="4" fontId="55" fillId="0" borderId="11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4,5,6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Прилож4,5,6 2015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selection activeCell="A1" sqref="A1:K1"/>
    </sheetView>
  </sheetViews>
  <sheetFormatPr defaultColWidth="9.140625" defaultRowHeight="12.75"/>
  <cols>
    <col min="1" max="1" width="7.00390625" style="1" customWidth="1"/>
    <col min="2" max="3" width="9.140625" style="1" customWidth="1"/>
    <col min="4" max="4" width="9.7109375" style="1" customWidth="1"/>
    <col min="5" max="8" width="9.140625" style="1" customWidth="1"/>
    <col min="9" max="9" width="5.28125" style="1" customWidth="1"/>
    <col min="10" max="10" width="0.5625" style="7" hidden="1" customWidth="1"/>
    <col min="11" max="11" width="16.140625" style="7" customWidth="1"/>
    <col min="12" max="12" width="17.421875" style="7" customWidth="1"/>
    <col min="13" max="13" width="9.421875" style="7" customWidth="1"/>
    <col min="14" max="14" width="9.140625" style="7" customWidth="1"/>
    <col min="15" max="15" width="14.421875" style="7" customWidth="1"/>
    <col min="16" max="16384" width="9.140625" style="7" customWidth="1"/>
  </cols>
  <sheetData>
    <row r="1" spans="1:13" s="1" customFormat="1" ht="46.5" customHeight="1">
      <c r="A1" s="161" t="s">
        <v>855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3"/>
      <c r="M1" s="2"/>
    </row>
    <row r="2" spans="1:13" ht="18" customHeight="1">
      <c r="A2" s="4"/>
      <c r="B2" s="3"/>
      <c r="C2" s="3"/>
      <c r="D2" s="3"/>
      <c r="E2" s="3"/>
      <c r="F2" s="3"/>
      <c r="G2" s="3"/>
      <c r="H2" s="3"/>
      <c r="I2" s="3"/>
      <c r="J2" s="5"/>
      <c r="K2" s="6"/>
      <c r="L2" s="5"/>
      <c r="M2" s="6" t="s">
        <v>572</v>
      </c>
    </row>
    <row r="3" spans="1:13" ht="12.75">
      <c r="A3" s="8" t="s">
        <v>573</v>
      </c>
      <c r="B3" s="9" t="s">
        <v>574</v>
      </c>
      <c r="C3" s="9"/>
      <c r="D3" s="9"/>
      <c r="E3" s="9" t="s">
        <v>575</v>
      </c>
      <c r="F3" s="9"/>
      <c r="G3" s="9"/>
      <c r="H3" s="9"/>
      <c r="I3" s="9"/>
      <c r="J3" s="9"/>
      <c r="K3" s="8" t="s">
        <v>576</v>
      </c>
      <c r="L3" s="10" t="s">
        <v>577</v>
      </c>
      <c r="M3" s="11" t="s">
        <v>578</v>
      </c>
    </row>
    <row r="4" spans="1:13" ht="36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12"/>
      <c r="L4" s="13"/>
      <c r="M4" s="14"/>
    </row>
    <row r="5" spans="1:15" ht="15.75">
      <c r="A5" s="15">
        <v>1</v>
      </c>
      <c r="B5" s="16">
        <v>2</v>
      </c>
      <c r="C5" s="17"/>
      <c r="D5" s="18"/>
      <c r="E5" s="16">
        <v>3</v>
      </c>
      <c r="F5" s="17"/>
      <c r="G5" s="17"/>
      <c r="H5" s="17"/>
      <c r="I5" s="17"/>
      <c r="J5" s="17"/>
      <c r="K5" s="19">
        <v>4</v>
      </c>
      <c r="L5" s="20">
        <v>5</v>
      </c>
      <c r="M5" s="20">
        <v>6</v>
      </c>
      <c r="O5" s="21"/>
    </row>
    <row r="6" spans="1:13" ht="13.5" customHeight="1">
      <c r="A6" s="15" t="s">
        <v>579</v>
      </c>
      <c r="B6" s="22" t="s">
        <v>580</v>
      </c>
      <c r="C6" s="23"/>
      <c r="D6" s="24"/>
      <c r="E6" s="25" t="s">
        <v>581</v>
      </c>
      <c r="F6" s="26"/>
      <c r="G6" s="26"/>
      <c r="H6" s="26"/>
      <c r="I6" s="26"/>
      <c r="J6" s="26"/>
      <c r="K6" s="27">
        <f>K7+K10+K13+K19+K26+K33+K42+K48+K35+K9</f>
        <v>165321000</v>
      </c>
      <c r="L6" s="27">
        <f>L7+L10+L13+L19+L26+L33+L42+L48+L35+L9+L23+L58</f>
        <v>140309549.98</v>
      </c>
      <c r="M6" s="28">
        <f aca="true" t="shared" si="0" ref="M6:M21">L6/K6*100</f>
        <v>84.8709782665239</v>
      </c>
    </row>
    <row r="7" spans="1:13" ht="18" customHeight="1">
      <c r="A7" s="15" t="s">
        <v>582</v>
      </c>
      <c r="B7" s="22" t="s">
        <v>583</v>
      </c>
      <c r="C7" s="29"/>
      <c r="D7" s="30"/>
      <c r="E7" s="25" t="s">
        <v>584</v>
      </c>
      <c r="F7" s="26"/>
      <c r="G7" s="26"/>
      <c r="H7" s="26"/>
      <c r="I7" s="26"/>
      <c r="J7" s="26"/>
      <c r="K7" s="27">
        <f>K8</f>
        <v>116562000</v>
      </c>
      <c r="L7" s="28">
        <f>L8</f>
        <v>96463998.07</v>
      </c>
      <c r="M7" s="28">
        <f t="shared" si="0"/>
        <v>82.75767237178496</v>
      </c>
    </row>
    <row r="8" spans="1:13" ht="35.25" customHeight="1">
      <c r="A8" s="15" t="s">
        <v>585</v>
      </c>
      <c r="B8" s="22" t="s">
        <v>586</v>
      </c>
      <c r="C8" s="23"/>
      <c r="D8" s="24"/>
      <c r="E8" s="31" t="s">
        <v>587</v>
      </c>
      <c r="F8" s="32"/>
      <c r="G8" s="32"/>
      <c r="H8" s="32"/>
      <c r="I8" s="32"/>
      <c r="J8" s="32"/>
      <c r="K8" s="27">
        <v>116562000</v>
      </c>
      <c r="L8" s="28">
        <v>96463998.07</v>
      </c>
      <c r="M8" s="28">
        <f t="shared" si="0"/>
        <v>82.75767237178496</v>
      </c>
    </row>
    <row r="9" spans="1:13" ht="64.5" customHeight="1">
      <c r="A9" s="15" t="s">
        <v>588</v>
      </c>
      <c r="B9" s="33" t="s">
        <v>589</v>
      </c>
      <c r="C9" s="34"/>
      <c r="D9" s="35"/>
      <c r="E9" s="36" t="s">
        <v>590</v>
      </c>
      <c r="F9" s="37"/>
      <c r="G9" s="37"/>
      <c r="H9" s="37"/>
      <c r="I9" s="37"/>
      <c r="J9" s="38"/>
      <c r="K9" s="27">
        <v>4831000</v>
      </c>
      <c r="L9" s="27">
        <f>5451334.92</f>
        <v>5451334.92</v>
      </c>
      <c r="M9" s="28">
        <f t="shared" si="0"/>
        <v>112.84071455185263</v>
      </c>
    </row>
    <row r="10" spans="1:13" ht="24" customHeight="1">
      <c r="A10" s="15" t="s">
        <v>591</v>
      </c>
      <c r="B10" s="22" t="s">
        <v>592</v>
      </c>
      <c r="C10" s="29"/>
      <c r="D10" s="30"/>
      <c r="E10" s="25" t="s">
        <v>593</v>
      </c>
      <c r="F10" s="26"/>
      <c r="G10" s="26"/>
      <c r="H10" s="26"/>
      <c r="I10" s="26"/>
      <c r="J10" s="26"/>
      <c r="K10" s="27">
        <f>K11+K12</f>
        <v>5680000</v>
      </c>
      <c r="L10" s="27">
        <f>L11+L12</f>
        <v>4824645.03</v>
      </c>
      <c r="M10" s="28">
        <f t="shared" si="0"/>
        <v>84.94093362676057</v>
      </c>
    </row>
    <row r="11" spans="1:13" ht="49.5" customHeight="1">
      <c r="A11" s="15" t="s">
        <v>594</v>
      </c>
      <c r="B11" s="39" t="s">
        <v>595</v>
      </c>
      <c r="C11" s="40"/>
      <c r="D11" s="41"/>
      <c r="E11" s="42" t="s">
        <v>596</v>
      </c>
      <c r="F11" s="43"/>
      <c r="G11" s="43"/>
      <c r="H11" s="43"/>
      <c r="I11" s="43"/>
      <c r="J11" s="43"/>
      <c r="K11" s="44">
        <v>5323000</v>
      </c>
      <c r="L11" s="45">
        <v>4544746.34</v>
      </c>
      <c r="M11" s="45">
        <f t="shared" si="0"/>
        <v>85.379416494458</v>
      </c>
    </row>
    <row r="12" spans="1:13" ht="63" customHeight="1">
      <c r="A12" s="15" t="s">
        <v>597</v>
      </c>
      <c r="B12" s="46" t="s">
        <v>598</v>
      </c>
      <c r="C12" s="47"/>
      <c r="D12" s="48"/>
      <c r="E12" s="49" t="s">
        <v>599</v>
      </c>
      <c r="F12" s="50"/>
      <c r="G12" s="50"/>
      <c r="H12" s="50"/>
      <c r="I12" s="50"/>
      <c r="J12" s="51"/>
      <c r="K12" s="52">
        <v>357000</v>
      </c>
      <c r="L12" s="45">
        <f>279898.69</f>
        <v>279898.69</v>
      </c>
      <c r="M12" s="45">
        <f t="shared" si="0"/>
        <v>78.4029943977591</v>
      </c>
    </row>
    <row r="13" spans="1:13" ht="25.5" customHeight="1">
      <c r="A13" s="15" t="s">
        <v>600</v>
      </c>
      <c r="B13" s="53" t="s">
        <v>601</v>
      </c>
      <c r="C13" s="29"/>
      <c r="D13" s="30"/>
      <c r="E13" s="25" t="s">
        <v>602</v>
      </c>
      <c r="F13" s="26"/>
      <c r="G13" s="26"/>
      <c r="H13" s="26"/>
      <c r="I13" s="26"/>
      <c r="J13" s="26"/>
      <c r="K13" s="27">
        <f>K14+K16</f>
        <v>21849000</v>
      </c>
      <c r="L13" s="27">
        <f>L14+L16</f>
        <v>21169456.740000002</v>
      </c>
      <c r="M13" s="28">
        <f t="shared" si="0"/>
        <v>96.8898198544556</v>
      </c>
    </row>
    <row r="14" spans="1:13" ht="24" customHeight="1">
      <c r="A14" s="15" t="s">
        <v>603</v>
      </c>
      <c r="B14" s="54" t="s">
        <v>604</v>
      </c>
      <c r="C14" s="55"/>
      <c r="D14" s="56"/>
      <c r="E14" s="31" t="s">
        <v>605</v>
      </c>
      <c r="F14" s="32"/>
      <c r="G14" s="32"/>
      <c r="H14" s="32"/>
      <c r="I14" s="32"/>
      <c r="J14" s="32"/>
      <c r="K14" s="57">
        <f>K15</f>
        <v>3085000</v>
      </c>
      <c r="L14" s="28">
        <f>L15</f>
        <v>2678975.46</v>
      </c>
      <c r="M14" s="28">
        <f t="shared" si="0"/>
        <v>86.83875072933549</v>
      </c>
    </row>
    <row r="15" spans="1:13" ht="62.25" customHeight="1">
      <c r="A15" s="15" t="s">
        <v>606</v>
      </c>
      <c r="B15" s="58" t="s">
        <v>607</v>
      </c>
      <c r="C15" s="58"/>
      <c r="D15" s="58"/>
      <c r="E15" s="42" t="s">
        <v>608</v>
      </c>
      <c r="F15" s="43"/>
      <c r="G15" s="43"/>
      <c r="H15" s="43"/>
      <c r="I15" s="43"/>
      <c r="J15" s="43"/>
      <c r="K15" s="44">
        <v>3085000</v>
      </c>
      <c r="L15" s="45">
        <f>2678975.46</f>
        <v>2678975.46</v>
      </c>
      <c r="M15" s="45">
        <f t="shared" si="0"/>
        <v>86.83875072933549</v>
      </c>
    </row>
    <row r="16" spans="1:13" ht="22.5" customHeight="1">
      <c r="A16" s="15" t="s">
        <v>609</v>
      </c>
      <c r="B16" s="54" t="s">
        <v>610</v>
      </c>
      <c r="C16" s="59"/>
      <c r="D16" s="60"/>
      <c r="E16" s="31" t="s">
        <v>611</v>
      </c>
      <c r="F16" s="32"/>
      <c r="G16" s="32"/>
      <c r="H16" s="32"/>
      <c r="I16" s="32"/>
      <c r="J16" s="32"/>
      <c r="K16" s="61">
        <f>SUM(K17:K18)</f>
        <v>18764000</v>
      </c>
      <c r="L16" s="28">
        <f>L17+L18</f>
        <v>18490481.28</v>
      </c>
      <c r="M16" s="28">
        <f t="shared" si="0"/>
        <v>98.54232189298658</v>
      </c>
    </row>
    <row r="17" spans="1:13" ht="65.25" customHeight="1">
      <c r="A17" s="15" t="s">
        <v>612</v>
      </c>
      <c r="B17" s="62" t="s">
        <v>613</v>
      </c>
      <c r="C17" s="29"/>
      <c r="D17" s="30"/>
      <c r="E17" s="42" t="s">
        <v>852</v>
      </c>
      <c r="F17" s="43"/>
      <c r="G17" s="43"/>
      <c r="H17" s="43"/>
      <c r="I17" s="43"/>
      <c r="J17" s="43"/>
      <c r="K17" s="52">
        <v>2600000</v>
      </c>
      <c r="L17" s="45">
        <f>3166758.05</f>
        <v>3166758.05</v>
      </c>
      <c r="M17" s="45">
        <f t="shared" si="0"/>
        <v>121.79838653846153</v>
      </c>
    </row>
    <row r="18" spans="1:13" ht="66.75" customHeight="1">
      <c r="A18" s="15" t="s">
        <v>614</v>
      </c>
      <c r="B18" s="62" t="s">
        <v>615</v>
      </c>
      <c r="C18" s="29"/>
      <c r="D18" s="30"/>
      <c r="E18" s="42" t="s">
        <v>853</v>
      </c>
      <c r="F18" s="43"/>
      <c r="G18" s="43"/>
      <c r="H18" s="43"/>
      <c r="I18" s="43"/>
      <c r="J18" s="43"/>
      <c r="K18" s="52">
        <v>16164000</v>
      </c>
      <c r="L18" s="45">
        <v>15323723.23</v>
      </c>
      <c r="M18" s="45">
        <f t="shared" si="0"/>
        <v>94.80155425637219</v>
      </c>
    </row>
    <row r="19" spans="1:13" ht="15" customHeight="1">
      <c r="A19" s="15" t="s">
        <v>616</v>
      </c>
      <c r="B19" s="53" t="s">
        <v>617</v>
      </c>
      <c r="C19" s="29"/>
      <c r="D19" s="30"/>
      <c r="E19" s="25" t="s">
        <v>618</v>
      </c>
      <c r="F19" s="26"/>
      <c r="G19" s="26"/>
      <c r="H19" s="26"/>
      <c r="I19" s="26"/>
      <c r="J19" s="26"/>
      <c r="K19" s="27">
        <f>SUM(K20:K22)</f>
        <v>1218000</v>
      </c>
      <c r="L19" s="28">
        <f>L20</f>
        <v>1525195.51</v>
      </c>
      <c r="M19" s="28">
        <f t="shared" si="0"/>
        <v>125.22130623973729</v>
      </c>
    </row>
    <row r="20" spans="1:13" ht="62.25" customHeight="1">
      <c r="A20" s="15" t="s">
        <v>619</v>
      </c>
      <c r="B20" s="62" t="s">
        <v>620</v>
      </c>
      <c r="C20" s="29"/>
      <c r="D20" s="30"/>
      <c r="E20" s="42" t="s">
        <v>621</v>
      </c>
      <c r="F20" s="43"/>
      <c r="G20" s="43"/>
      <c r="H20" s="43"/>
      <c r="I20" s="43"/>
      <c r="J20" s="43"/>
      <c r="K20" s="44">
        <v>1193000</v>
      </c>
      <c r="L20" s="45">
        <v>1525195.51</v>
      </c>
      <c r="M20" s="45">
        <f t="shared" si="0"/>
        <v>127.84539061190276</v>
      </c>
    </row>
    <row r="21" spans="1:13" ht="152.25" customHeight="1">
      <c r="A21" s="15" t="s">
        <v>622</v>
      </c>
      <c r="B21" s="63" t="s">
        <v>623</v>
      </c>
      <c r="C21" s="64"/>
      <c r="D21" s="65"/>
      <c r="E21" s="49" t="s">
        <v>624</v>
      </c>
      <c r="F21" s="50"/>
      <c r="G21" s="50"/>
      <c r="H21" s="50"/>
      <c r="I21" s="50"/>
      <c r="J21" s="51"/>
      <c r="K21" s="44">
        <v>10000</v>
      </c>
      <c r="L21" s="45">
        <v>0</v>
      </c>
      <c r="M21" s="45">
        <f t="shared" si="0"/>
        <v>0</v>
      </c>
    </row>
    <row r="22" spans="1:13" ht="57" customHeight="1">
      <c r="A22" s="15" t="s">
        <v>625</v>
      </c>
      <c r="B22" s="63" t="s">
        <v>626</v>
      </c>
      <c r="C22" s="64"/>
      <c r="D22" s="65"/>
      <c r="E22" s="49" t="s">
        <v>627</v>
      </c>
      <c r="F22" s="50"/>
      <c r="G22" s="50"/>
      <c r="H22" s="50"/>
      <c r="I22" s="50"/>
      <c r="J22" s="51"/>
      <c r="K22" s="44">
        <v>15000</v>
      </c>
      <c r="L22" s="45">
        <v>0</v>
      </c>
      <c r="M22" s="45">
        <v>0</v>
      </c>
    </row>
    <row r="23" spans="1:13" ht="41.25" customHeight="1">
      <c r="A23" s="15" t="s">
        <v>628</v>
      </c>
      <c r="B23" s="53" t="s">
        <v>629</v>
      </c>
      <c r="C23" s="29"/>
      <c r="D23" s="30"/>
      <c r="E23" s="25" t="s">
        <v>630</v>
      </c>
      <c r="F23" s="66"/>
      <c r="G23" s="66"/>
      <c r="H23" s="66"/>
      <c r="I23" s="66"/>
      <c r="J23" s="67"/>
      <c r="K23" s="57">
        <v>0</v>
      </c>
      <c r="L23" s="28">
        <f>L24+L25</f>
        <v>20374.629999999997</v>
      </c>
      <c r="M23" s="28">
        <v>0</v>
      </c>
    </row>
    <row r="24" spans="1:13" ht="43.5" customHeight="1">
      <c r="A24" s="15" t="s">
        <v>631</v>
      </c>
      <c r="B24" s="62" t="s">
        <v>632</v>
      </c>
      <c r="C24" s="29"/>
      <c r="D24" s="30"/>
      <c r="E24" s="42" t="s">
        <v>633</v>
      </c>
      <c r="F24" s="43"/>
      <c r="G24" s="43"/>
      <c r="H24" s="43"/>
      <c r="I24" s="43"/>
      <c r="J24" s="68"/>
      <c r="K24" s="44">
        <v>0</v>
      </c>
      <c r="L24" s="45">
        <v>20193.03</v>
      </c>
      <c r="M24" s="45">
        <v>0</v>
      </c>
    </row>
    <row r="25" spans="1:13" ht="70.5" customHeight="1">
      <c r="A25" s="15" t="s">
        <v>634</v>
      </c>
      <c r="B25" s="63" t="s">
        <v>635</v>
      </c>
      <c r="C25" s="64"/>
      <c r="D25" s="65"/>
      <c r="E25" s="49" t="s">
        <v>636</v>
      </c>
      <c r="F25" s="50"/>
      <c r="G25" s="50"/>
      <c r="H25" s="50"/>
      <c r="I25" s="50"/>
      <c r="J25" s="69"/>
      <c r="K25" s="44">
        <v>0</v>
      </c>
      <c r="L25" s="45">
        <v>181.6</v>
      </c>
      <c r="M25" s="45">
        <v>0</v>
      </c>
    </row>
    <row r="26" spans="1:13" ht="89.25" customHeight="1">
      <c r="A26" s="15" t="s">
        <v>637</v>
      </c>
      <c r="B26" s="53" t="s">
        <v>638</v>
      </c>
      <c r="C26" s="29"/>
      <c r="D26" s="30"/>
      <c r="E26" s="25" t="s">
        <v>639</v>
      </c>
      <c r="F26" s="26"/>
      <c r="G26" s="26"/>
      <c r="H26" s="26"/>
      <c r="I26" s="26"/>
      <c r="J26" s="26"/>
      <c r="K26" s="27">
        <f>K27+K32</f>
        <v>12707000</v>
      </c>
      <c r="L26" s="27">
        <f>L27+L32</f>
        <v>7181332.61</v>
      </c>
      <c r="M26" s="28">
        <f>L26/K26*100</f>
        <v>56.51477618635398</v>
      </c>
    </row>
    <row r="27" spans="1:13" ht="165.75" customHeight="1">
      <c r="A27" s="15" t="s">
        <v>640</v>
      </c>
      <c r="B27" s="53" t="s">
        <v>641</v>
      </c>
      <c r="C27" s="70"/>
      <c r="D27" s="71"/>
      <c r="E27" s="25" t="s">
        <v>642</v>
      </c>
      <c r="F27" s="43"/>
      <c r="G27" s="43"/>
      <c r="H27" s="43"/>
      <c r="I27" s="43"/>
      <c r="J27" s="43"/>
      <c r="K27" s="27">
        <f>K28+K30+K31+K29</f>
        <v>12700000</v>
      </c>
      <c r="L27" s="27">
        <f>L28+L30+L31+L29</f>
        <v>7180532.61</v>
      </c>
      <c r="M27" s="28">
        <f>L27/K27*100</f>
        <v>56.539626850393695</v>
      </c>
    </row>
    <row r="28" spans="1:13" ht="115.5" customHeight="1">
      <c r="A28" s="15" t="s">
        <v>643</v>
      </c>
      <c r="B28" s="72" t="s">
        <v>644</v>
      </c>
      <c r="C28" s="59"/>
      <c r="D28" s="60"/>
      <c r="E28" s="73" t="s">
        <v>645</v>
      </c>
      <c r="F28" s="74"/>
      <c r="G28" s="74"/>
      <c r="H28" s="74"/>
      <c r="I28" s="74"/>
      <c r="J28" s="74"/>
      <c r="K28" s="52">
        <v>3736000</v>
      </c>
      <c r="L28" s="75">
        <v>4102191.73</v>
      </c>
      <c r="M28" s="45">
        <f>L28/K28*100</f>
        <v>109.80170583511777</v>
      </c>
    </row>
    <row r="29" spans="1:13" ht="132" customHeight="1">
      <c r="A29" s="15" t="s">
        <v>646</v>
      </c>
      <c r="B29" s="76" t="s">
        <v>647</v>
      </c>
      <c r="C29" s="77"/>
      <c r="D29" s="78"/>
      <c r="E29" s="79" t="s">
        <v>648</v>
      </c>
      <c r="F29" s="80"/>
      <c r="G29" s="80"/>
      <c r="H29" s="80"/>
      <c r="I29" s="80"/>
      <c r="J29" s="81"/>
      <c r="K29" s="52"/>
      <c r="L29" s="75">
        <v>287.55</v>
      </c>
      <c r="M29" s="45">
        <v>0</v>
      </c>
    </row>
    <row r="30" spans="1:13" ht="94.5" customHeight="1">
      <c r="A30" s="15" t="s">
        <v>649</v>
      </c>
      <c r="B30" s="72" t="s">
        <v>650</v>
      </c>
      <c r="C30" s="59"/>
      <c r="D30" s="60"/>
      <c r="E30" s="79" t="s">
        <v>651</v>
      </c>
      <c r="F30" s="80"/>
      <c r="G30" s="80"/>
      <c r="H30" s="80"/>
      <c r="I30" s="80"/>
      <c r="J30" s="82"/>
      <c r="K30" s="52">
        <v>29000</v>
      </c>
      <c r="L30" s="45">
        <v>20770</v>
      </c>
      <c r="M30" s="45">
        <f aca="true" t="shared" si="1" ref="M30:M38">L30/K30*100</f>
        <v>71.62068965517241</v>
      </c>
    </row>
    <row r="31" spans="1:13" ht="58.5" customHeight="1">
      <c r="A31" s="15" t="s">
        <v>652</v>
      </c>
      <c r="B31" s="76" t="s">
        <v>653</v>
      </c>
      <c r="C31" s="77"/>
      <c r="D31" s="78"/>
      <c r="E31" s="79" t="s">
        <v>654</v>
      </c>
      <c r="F31" s="80"/>
      <c r="G31" s="80"/>
      <c r="H31" s="80"/>
      <c r="I31" s="80"/>
      <c r="J31" s="82"/>
      <c r="K31" s="44">
        <v>8935000</v>
      </c>
      <c r="L31" s="45">
        <v>3057283.33</v>
      </c>
      <c r="M31" s="45">
        <f t="shared" si="1"/>
        <v>34.21693710128707</v>
      </c>
    </row>
    <row r="32" spans="1:13" ht="71.25" customHeight="1">
      <c r="A32" s="15" t="s">
        <v>655</v>
      </c>
      <c r="B32" s="76" t="s">
        <v>656</v>
      </c>
      <c r="C32" s="77"/>
      <c r="D32" s="78"/>
      <c r="E32" s="79" t="s">
        <v>657</v>
      </c>
      <c r="F32" s="80"/>
      <c r="G32" s="80"/>
      <c r="H32" s="80"/>
      <c r="I32" s="80"/>
      <c r="J32" s="83"/>
      <c r="K32" s="44">
        <v>7000</v>
      </c>
      <c r="L32" s="45">
        <v>800</v>
      </c>
      <c r="M32" s="45">
        <f t="shared" si="1"/>
        <v>11.428571428571429</v>
      </c>
    </row>
    <row r="33" spans="1:13" ht="38.25" customHeight="1">
      <c r="A33" s="15" t="s">
        <v>658</v>
      </c>
      <c r="B33" s="53" t="s">
        <v>659</v>
      </c>
      <c r="C33" s="70"/>
      <c r="D33" s="71"/>
      <c r="E33" s="25" t="s">
        <v>660</v>
      </c>
      <c r="F33" s="26"/>
      <c r="G33" s="26"/>
      <c r="H33" s="26"/>
      <c r="I33" s="26"/>
      <c r="J33" s="26"/>
      <c r="K33" s="27">
        <f>K34</f>
        <v>64000</v>
      </c>
      <c r="L33" s="28">
        <f>L34</f>
        <v>371665.09</v>
      </c>
      <c r="M33" s="28">
        <f t="shared" si="1"/>
        <v>580.7267031250001</v>
      </c>
    </row>
    <row r="34" spans="1:13" ht="39" customHeight="1">
      <c r="A34" s="15" t="s">
        <v>661</v>
      </c>
      <c r="B34" s="62" t="s">
        <v>662</v>
      </c>
      <c r="C34" s="29"/>
      <c r="D34" s="30"/>
      <c r="E34" s="42" t="s">
        <v>663</v>
      </c>
      <c r="F34" s="43"/>
      <c r="G34" s="43"/>
      <c r="H34" s="43"/>
      <c r="I34" s="43"/>
      <c r="J34" s="43"/>
      <c r="K34" s="52">
        <v>64000</v>
      </c>
      <c r="L34" s="45">
        <f>371665.09</f>
        <v>371665.09</v>
      </c>
      <c r="M34" s="45">
        <f t="shared" si="1"/>
        <v>580.7267031250001</v>
      </c>
    </row>
    <row r="35" spans="1:13" ht="57.75" customHeight="1">
      <c r="A35" s="15" t="s">
        <v>664</v>
      </c>
      <c r="B35" s="53" t="s">
        <v>665</v>
      </c>
      <c r="C35" s="29"/>
      <c r="D35" s="30"/>
      <c r="E35" s="25" t="s">
        <v>666</v>
      </c>
      <c r="F35" s="26"/>
      <c r="G35" s="26"/>
      <c r="H35" s="26"/>
      <c r="I35" s="26"/>
      <c r="J35" s="26"/>
      <c r="K35" s="27">
        <f>K36+K39</f>
        <v>323000</v>
      </c>
      <c r="L35" s="28">
        <f>L36+L39</f>
        <v>871874.36</v>
      </c>
      <c r="M35" s="28">
        <f t="shared" si="1"/>
        <v>269.93014241486065</v>
      </c>
    </row>
    <row r="36" spans="1:13" ht="38.25" customHeight="1">
      <c r="A36" s="15" t="s">
        <v>667</v>
      </c>
      <c r="B36" s="76" t="s">
        <v>668</v>
      </c>
      <c r="C36" s="64"/>
      <c r="D36" s="65"/>
      <c r="E36" s="73" t="s">
        <v>669</v>
      </c>
      <c r="F36" s="74"/>
      <c r="G36" s="74"/>
      <c r="H36" s="74"/>
      <c r="I36" s="74"/>
      <c r="J36" s="74"/>
      <c r="K36" s="52">
        <f>K37+K38</f>
        <v>323000</v>
      </c>
      <c r="L36" s="52">
        <f>L37+L38</f>
        <v>251303.15</v>
      </c>
      <c r="M36" s="45">
        <f t="shared" si="1"/>
        <v>77.80283281733746</v>
      </c>
    </row>
    <row r="37" spans="1:13" ht="125.25" customHeight="1">
      <c r="A37" s="15" t="s">
        <v>670</v>
      </c>
      <c r="B37" s="63" t="s">
        <v>671</v>
      </c>
      <c r="C37" s="64"/>
      <c r="D37" s="65"/>
      <c r="E37" s="49" t="s">
        <v>672</v>
      </c>
      <c r="F37" s="50"/>
      <c r="G37" s="50"/>
      <c r="H37" s="50"/>
      <c r="I37" s="50"/>
      <c r="J37" s="81"/>
      <c r="K37" s="52">
        <v>39000</v>
      </c>
      <c r="L37" s="84">
        <v>56873.9</v>
      </c>
      <c r="M37" s="45">
        <f t="shared" si="1"/>
        <v>145.83051282051284</v>
      </c>
    </row>
    <row r="38" spans="1:13" ht="70.5" customHeight="1">
      <c r="A38" s="15" t="s">
        <v>673</v>
      </c>
      <c r="B38" s="63" t="s">
        <v>674</v>
      </c>
      <c r="C38" s="64"/>
      <c r="D38" s="65"/>
      <c r="E38" s="49" t="s">
        <v>675</v>
      </c>
      <c r="F38" s="50"/>
      <c r="G38" s="50"/>
      <c r="H38" s="50"/>
      <c r="I38" s="50"/>
      <c r="J38" s="81"/>
      <c r="K38" s="52">
        <v>284000</v>
      </c>
      <c r="L38" s="84">
        <v>194429.25</v>
      </c>
      <c r="M38" s="45">
        <f t="shared" si="1"/>
        <v>68.46100352112676</v>
      </c>
    </row>
    <row r="39" spans="1:13" ht="31.5" customHeight="1">
      <c r="A39" s="15" t="s">
        <v>676</v>
      </c>
      <c r="B39" s="76" t="s">
        <v>677</v>
      </c>
      <c r="C39" s="77"/>
      <c r="D39" s="78"/>
      <c r="E39" s="79" t="s">
        <v>678</v>
      </c>
      <c r="F39" s="80"/>
      <c r="G39" s="80"/>
      <c r="H39" s="80"/>
      <c r="I39" s="80"/>
      <c r="J39" s="82"/>
      <c r="K39" s="52">
        <f>K40</f>
        <v>0</v>
      </c>
      <c r="L39" s="85">
        <f>L40+L41</f>
        <v>620571.21</v>
      </c>
      <c r="M39" s="45">
        <v>0</v>
      </c>
    </row>
    <row r="40" spans="1:13" ht="62.25" customHeight="1">
      <c r="A40" s="15" t="s">
        <v>679</v>
      </c>
      <c r="B40" s="63" t="s">
        <v>680</v>
      </c>
      <c r="C40" s="64"/>
      <c r="D40" s="65"/>
      <c r="E40" s="49" t="s">
        <v>681</v>
      </c>
      <c r="F40" s="50"/>
      <c r="G40" s="50"/>
      <c r="H40" s="50"/>
      <c r="I40" s="50"/>
      <c r="J40" s="83"/>
      <c r="K40" s="52">
        <v>0</v>
      </c>
      <c r="L40" s="84">
        <f>330397.5</f>
        <v>330397.5</v>
      </c>
      <c r="M40" s="45">
        <v>0</v>
      </c>
    </row>
    <row r="41" spans="1:13" ht="63.75" customHeight="1">
      <c r="A41" s="15" t="s">
        <v>682</v>
      </c>
      <c r="B41" s="63" t="s">
        <v>683</v>
      </c>
      <c r="C41" s="64"/>
      <c r="D41" s="65"/>
      <c r="E41" s="49" t="s">
        <v>681</v>
      </c>
      <c r="F41" s="50"/>
      <c r="G41" s="50"/>
      <c r="H41" s="50"/>
      <c r="I41" s="50"/>
      <c r="J41" s="83"/>
      <c r="K41" s="52">
        <v>0</v>
      </c>
      <c r="L41" s="84">
        <f>290173.71</f>
        <v>290173.71</v>
      </c>
      <c r="M41" s="45">
        <v>0</v>
      </c>
    </row>
    <row r="42" spans="1:13" ht="54" customHeight="1">
      <c r="A42" s="15" t="s">
        <v>684</v>
      </c>
      <c r="B42" s="53" t="s">
        <v>685</v>
      </c>
      <c r="C42" s="29"/>
      <c r="D42" s="30"/>
      <c r="E42" s="25" t="s">
        <v>686</v>
      </c>
      <c r="F42" s="26"/>
      <c r="G42" s="26"/>
      <c r="H42" s="26"/>
      <c r="I42" s="26"/>
      <c r="J42" s="26"/>
      <c r="K42" s="27">
        <f>K45+K43</f>
        <v>1923000</v>
      </c>
      <c r="L42" s="27">
        <f>L45+L43</f>
        <v>1170038.72</v>
      </c>
      <c r="M42" s="28">
        <f aca="true" t="shared" si="2" ref="M42:M48">L42/K42*100</f>
        <v>60.84444721788871</v>
      </c>
    </row>
    <row r="43" spans="1:13" ht="126" customHeight="1">
      <c r="A43" s="15" t="s">
        <v>687</v>
      </c>
      <c r="B43" s="86" t="s">
        <v>688</v>
      </c>
      <c r="C43" s="87"/>
      <c r="D43" s="88"/>
      <c r="E43" s="36" t="s">
        <v>689</v>
      </c>
      <c r="F43" s="37"/>
      <c r="G43" s="37"/>
      <c r="H43" s="37"/>
      <c r="I43" s="37"/>
      <c r="J43" s="37"/>
      <c r="K43" s="27">
        <f>K44</f>
        <v>1158000</v>
      </c>
      <c r="L43" s="27">
        <f>L44</f>
        <v>615485.22</v>
      </c>
      <c r="M43" s="28">
        <f t="shared" si="2"/>
        <v>53.150709844559586</v>
      </c>
    </row>
    <row r="44" spans="1:13" ht="146.25" customHeight="1">
      <c r="A44" s="15" t="s">
        <v>690</v>
      </c>
      <c r="B44" s="76" t="s">
        <v>691</v>
      </c>
      <c r="C44" s="77"/>
      <c r="D44" s="78"/>
      <c r="E44" s="79" t="s">
        <v>692</v>
      </c>
      <c r="F44" s="80"/>
      <c r="G44" s="80"/>
      <c r="H44" s="80"/>
      <c r="I44" s="80"/>
      <c r="J44" s="80"/>
      <c r="K44" s="52">
        <f>1158000</f>
        <v>1158000</v>
      </c>
      <c r="L44" s="45">
        <f>615485.22</f>
        <v>615485.22</v>
      </c>
      <c r="M44" s="45">
        <f t="shared" si="2"/>
        <v>53.150709844559586</v>
      </c>
    </row>
    <row r="45" spans="1:13" ht="99.75" customHeight="1">
      <c r="A45" s="15" t="s">
        <v>693</v>
      </c>
      <c r="B45" s="53" t="s">
        <v>694</v>
      </c>
      <c r="C45" s="70"/>
      <c r="D45" s="71"/>
      <c r="E45" s="31" t="s">
        <v>695</v>
      </c>
      <c r="F45" s="32"/>
      <c r="G45" s="32"/>
      <c r="H45" s="32"/>
      <c r="I45" s="32"/>
      <c r="J45" s="32"/>
      <c r="K45" s="27">
        <f>K46+K47</f>
        <v>765000</v>
      </c>
      <c r="L45" s="27">
        <f>L46+L47</f>
        <v>554553.5</v>
      </c>
      <c r="M45" s="28">
        <f t="shared" si="2"/>
        <v>72.49065359477123</v>
      </c>
    </row>
    <row r="46" spans="1:13" ht="63" customHeight="1">
      <c r="A46" s="15" t="s">
        <v>696</v>
      </c>
      <c r="B46" s="72" t="s">
        <v>697</v>
      </c>
      <c r="C46" s="59"/>
      <c r="D46" s="60"/>
      <c r="E46" s="73" t="s">
        <v>698</v>
      </c>
      <c r="F46" s="74"/>
      <c r="G46" s="74"/>
      <c r="H46" s="74"/>
      <c r="I46" s="74"/>
      <c r="J46" s="74"/>
      <c r="K46" s="52">
        <v>603000</v>
      </c>
      <c r="L46" s="45">
        <v>451764.15</v>
      </c>
      <c r="M46" s="45">
        <f t="shared" si="2"/>
        <v>74.91942786069652</v>
      </c>
    </row>
    <row r="47" spans="1:13" ht="93.75" customHeight="1">
      <c r="A47" s="15" t="s">
        <v>699</v>
      </c>
      <c r="B47" s="76" t="s">
        <v>700</v>
      </c>
      <c r="C47" s="77"/>
      <c r="D47" s="78"/>
      <c r="E47" s="79" t="s">
        <v>701</v>
      </c>
      <c r="F47" s="80"/>
      <c r="G47" s="80"/>
      <c r="H47" s="80"/>
      <c r="I47" s="80"/>
      <c r="J47" s="80"/>
      <c r="K47" s="52">
        <v>162000</v>
      </c>
      <c r="L47" s="45">
        <v>102789.35</v>
      </c>
      <c r="M47" s="45">
        <f t="shared" si="2"/>
        <v>63.450216049382725</v>
      </c>
    </row>
    <row r="48" spans="1:13" ht="54" customHeight="1">
      <c r="A48" s="15" t="s">
        <v>702</v>
      </c>
      <c r="B48" s="53" t="s">
        <v>703</v>
      </c>
      <c r="C48" s="29"/>
      <c r="D48" s="30"/>
      <c r="E48" s="25" t="s">
        <v>704</v>
      </c>
      <c r="F48" s="43"/>
      <c r="G48" s="43"/>
      <c r="H48" s="43"/>
      <c r="I48" s="43"/>
      <c r="J48" s="68"/>
      <c r="K48" s="27">
        <f>K50+K52+K51</f>
        <v>164000</v>
      </c>
      <c r="L48" s="27">
        <f>L50+L52+L51+L49</f>
        <v>710800.3799999999</v>
      </c>
      <c r="M48" s="28">
        <f t="shared" si="2"/>
        <v>433.4148658536584</v>
      </c>
    </row>
    <row r="49" spans="1:13" ht="55.5" customHeight="1">
      <c r="A49" s="15" t="s">
        <v>705</v>
      </c>
      <c r="B49" s="62" t="s">
        <v>706</v>
      </c>
      <c r="C49" s="29"/>
      <c r="D49" s="30"/>
      <c r="E49" s="42" t="s">
        <v>707</v>
      </c>
      <c r="F49" s="89"/>
      <c r="G49" s="89"/>
      <c r="H49" s="89"/>
      <c r="I49" s="89"/>
      <c r="J49" s="90"/>
      <c r="K49" s="27"/>
      <c r="L49" s="52">
        <v>0</v>
      </c>
      <c r="M49" s="45">
        <v>0</v>
      </c>
    </row>
    <row r="50" spans="1:13" ht="39" customHeight="1">
      <c r="A50" s="15" t="s">
        <v>708</v>
      </c>
      <c r="B50" s="62" t="s">
        <v>709</v>
      </c>
      <c r="C50" s="29"/>
      <c r="D50" s="30"/>
      <c r="E50" s="42" t="s">
        <v>710</v>
      </c>
      <c r="F50" s="43"/>
      <c r="G50" s="43"/>
      <c r="H50" s="43"/>
      <c r="I50" s="43"/>
      <c r="J50" s="43"/>
      <c r="K50" s="91">
        <v>12000</v>
      </c>
      <c r="L50" s="45">
        <v>82500</v>
      </c>
      <c r="M50" s="45">
        <f>L50/K50*100</f>
        <v>687.5</v>
      </c>
    </row>
    <row r="51" spans="1:13" ht="106.5" customHeight="1">
      <c r="A51" s="15" t="s">
        <v>711</v>
      </c>
      <c r="B51" s="63" t="s">
        <v>712</v>
      </c>
      <c r="C51" s="64"/>
      <c r="D51" s="65"/>
      <c r="E51" s="49" t="s">
        <v>713</v>
      </c>
      <c r="F51" s="50"/>
      <c r="G51" s="50"/>
      <c r="H51" s="50"/>
      <c r="I51" s="50"/>
      <c r="J51" s="51"/>
      <c r="K51" s="91">
        <v>93000</v>
      </c>
      <c r="L51" s="92">
        <v>125363.19</v>
      </c>
      <c r="M51" s="45">
        <f>L51/K51*100</f>
        <v>134.79912903225807</v>
      </c>
    </row>
    <row r="52" spans="1:13" ht="76.5" customHeight="1">
      <c r="A52" s="15" t="s">
        <v>714</v>
      </c>
      <c r="B52" s="93" t="s">
        <v>715</v>
      </c>
      <c r="C52" s="93"/>
      <c r="D52" s="93"/>
      <c r="E52" s="94" t="s">
        <v>716</v>
      </c>
      <c r="F52" s="94"/>
      <c r="G52" s="94"/>
      <c r="H52" s="94"/>
      <c r="I52" s="94"/>
      <c r="J52" s="73"/>
      <c r="K52" s="52">
        <f>K53+K54+K55+K56</f>
        <v>59000</v>
      </c>
      <c r="L52" s="52">
        <f>L53+L54+L55+L56+L57</f>
        <v>502937.19</v>
      </c>
      <c r="M52" s="45">
        <f>L52/K52*100</f>
        <v>852.4359152542372</v>
      </c>
    </row>
    <row r="53" spans="1:13" ht="78" customHeight="1">
      <c r="A53" s="15" t="s">
        <v>717</v>
      </c>
      <c r="B53" s="63" t="s">
        <v>718</v>
      </c>
      <c r="C53" s="64"/>
      <c r="D53" s="65"/>
      <c r="E53" s="49" t="s">
        <v>716</v>
      </c>
      <c r="F53" s="50"/>
      <c r="G53" s="50"/>
      <c r="H53" s="50"/>
      <c r="I53" s="50"/>
      <c r="J53" s="69"/>
      <c r="K53" s="52">
        <v>14000</v>
      </c>
      <c r="L53" s="92">
        <v>91327.51</v>
      </c>
      <c r="M53" s="45">
        <f>L53/K53*100</f>
        <v>652.3393571428571</v>
      </c>
    </row>
    <row r="54" spans="1:13" ht="75" customHeight="1">
      <c r="A54" s="15" t="s">
        <v>719</v>
      </c>
      <c r="B54" s="63" t="s">
        <v>720</v>
      </c>
      <c r="C54" s="64"/>
      <c r="D54" s="65"/>
      <c r="E54" s="49" t="s">
        <v>716</v>
      </c>
      <c r="F54" s="50"/>
      <c r="G54" s="50"/>
      <c r="H54" s="50"/>
      <c r="I54" s="50"/>
      <c r="J54" s="69"/>
      <c r="K54" s="52">
        <v>45000</v>
      </c>
      <c r="L54" s="92">
        <v>386272.95</v>
      </c>
      <c r="M54" s="45">
        <f>L54/K54*100</f>
        <v>858.3843333333334</v>
      </c>
    </row>
    <row r="55" spans="1:13" ht="66.75" customHeight="1">
      <c r="A55" s="15" t="s">
        <v>721</v>
      </c>
      <c r="B55" s="63" t="s">
        <v>722</v>
      </c>
      <c r="C55" s="64"/>
      <c r="D55" s="65"/>
      <c r="E55" s="49" t="s">
        <v>716</v>
      </c>
      <c r="F55" s="50"/>
      <c r="G55" s="50"/>
      <c r="H55" s="50"/>
      <c r="I55" s="50"/>
      <c r="J55" s="69"/>
      <c r="K55" s="52">
        <v>0</v>
      </c>
      <c r="L55" s="92">
        <f>-14163.27</f>
        <v>-14163.27</v>
      </c>
      <c r="M55" s="45">
        <v>0</v>
      </c>
    </row>
    <row r="56" spans="1:13" ht="69.75" customHeight="1">
      <c r="A56" s="15" t="s">
        <v>723</v>
      </c>
      <c r="B56" s="63" t="s">
        <v>724</v>
      </c>
      <c r="C56" s="64"/>
      <c r="D56" s="65"/>
      <c r="E56" s="49" t="s">
        <v>716</v>
      </c>
      <c r="F56" s="50"/>
      <c r="G56" s="50"/>
      <c r="H56" s="50"/>
      <c r="I56" s="50"/>
      <c r="J56" s="69"/>
      <c r="K56" s="52">
        <v>0</v>
      </c>
      <c r="L56" s="92">
        <f>-500</f>
        <v>-500</v>
      </c>
      <c r="M56" s="45">
        <v>0</v>
      </c>
    </row>
    <row r="57" spans="1:13" ht="75.75" customHeight="1">
      <c r="A57" s="15" t="s">
        <v>725</v>
      </c>
      <c r="B57" s="63" t="s">
        <v>726</v>
      </c>
      <c r="C57" s="64"/>
      <c r="D57" s="65"/>
      <c r="E57" s="49" t="s">
        <v>716</v>
      </c>
      <c r="F57" s="50"/>
      <c r="G57" s="50"/>
      <c r="H57" s="50"/>
      <c r="I57" s="50"/>
      <c r="J57" s="69"/>
      <c r="K57" s="52">
        <v>0</v>
      </c>
      <c r="L57" s="92">
        <v>40000</v>
      </c>
      <c r="M57" s="45">
        <v>0</v>
      </c>
    </row>
    <row r="58" spans="1:13" ht="24.75" customHeight="1">
      <c r="A58" s="15" t="s">
        <v>727</v>
      </c>
      <c r="B58" s="53" t="s">
        <v>728</v>
      </c>
      <c r="C58" s="29"/>
      <c r="D58" s="30"/>
      <c r="E58" s="25" t="s">
        <v>729</v>
      </c>
      <c r="F58" s="89"/>
      <c r="G58" s="89"/>
      <c r="H58" s="89"/>
      <c r="I58" s="89"/>
      <c r="J58" s="90"/>
      <c r="K58" s="27">
        <f>K61+K62</f>
        <v>0</v>
      </c>
      <c r="L58" s="27">
        <f>L61+L62+L59+L60</f>
        <v>548833.92</v>
      </c>
      <c r="M58" s="28">
        <v>0</v>
      </c>
    </row>
    <row r="59" spans="1:13" ht="47.25" customHeight="1">
      <c r="A59" s="15" t="s">
        <v>730</v>
      </c>
      <c r="B59" s="63" t="s">
        <v>731</v>
      </c>
      <c r="C59" s="64"/>
      <c r="D59" s="65"/>
      <c r="E59" s="49" t="s">
        <v>732</v>
      </c>
      <c r="F59" s="50"/>
      <c r="G59" s="50"/>
      <c r="H59" s="50"/>
      <c r="I59" s="50"/>
      <c r="J59" s="95"/>
      <c r="K59" s="52">
        <v>0</v>
      </c>
      <c r="L59" s="92">
        <v>0</v>
      </c>
      <c r="M59" s="45">
        <v>0</v>
      </c>
    </row>
    <row r="60" spans="1:13" ht="48.75" customHeight="1">
      <c r="A60" s="15" t="s">
        <v>733</v>
      </c>
      <c r="B60" s="63" t="s">
        <v>734</v>
      </c>
      <c r="C60" s="64"/>
      <c r="D60" s="65"/>
      <c r="E60" s="49" t="s">
        <v>732</v>
      </c>
      <c r="F60" s="50"/>
      <c r="G60" s="50"/>
      <c r="H60" s="50"/>
      <c r="I60" s="50"/>
      <c r="J60" s="95"/>
      <c r="K60" s="52">
        <v>0</v>
      </c>
      <c r="L60" s="92">
        <v>15.43</v>
      </c>
      <c r="M60" s="45">
        <v>0</v>
      </c>
    </row>
    <row r="61" spans="1:13" ht="31.5" customHeight="1">
      <c r="A61" s="15" t="s">
        <v>735</v>
      </c>
      <c r="B61" s="62" t="s">
        <v>736</v>
      </c>
      <c r="C61" s="29"/>
      <c r="D61" s="30"/>
      <c r="E61" s="42" t="s">
        <v>737</v>
      </c>
      <c r="F61" s="89"/>
      <c r="G61" s="89"/>
      <c r="H61" s="89"/>
      <c r="I61" s="89"/>
      <c r="J61" s="90"/>
      <c r="K61" s="52">
        <v>0</v>
      </c>
      <c r="L61" s="92">
        <f>346660.6</f>
        <v>346660.6</v>
      </c>
      <c r="M61" s="45">
        <v>0</v>
      </c>
    </row>
    <row r="62" spans="1:14" ht="31.5" customHeight="1">
      <c r="A62" s="15" t="s">
        <v>738</v>
      </c>
      <c r="B62" s="62" t="s">
        <v>739</v>
      </c>
      <c r="C62" s="29"/>
      <c r="D62" s="30"/>
      <c r="E62" s="49" t="s">
        <v>737</v>
      </c>
      <c r="F62" s="50"/>
      <c r="G62" s="50"/>
      <c r="H62" s="50"/>
      <c r="I62" s="50"/>
      <c r="J62" s="96"/>
      <c r="K62" s="52">
        <v>0</v>
      </c>
      <c r="L62" s="92">
        <v>202157.89</v>
      </c>
      <c r="M62" s="45">
        <v>0</v>
      </c>
      <c r="N62" s="1"/>
    </row>
    <row r="63" spans="1:14" ht="37.5" customHeight="1">
      <c r="A63" s="15" t="s">
        <v>740</v>
      </c>
      <c r="B63" s="97" t="s">
        <v>741</v>
      </c>
      <c r="C63" s="98"/>
      <c r="D63" s="99"/>
      <c r="E63" s="100" t="s">
        <v>742</v>
      </c>
      <c r="F63" s="101"/>
      <c r="G63" s="101"/>
      <c r="H63" s="101"/>
      <c r="I63" s="101"/>
      <c r="J63" s="102"/>
      <c r="K63" s="27">
        <f>K64+K101+K98+K96</f>
        <v>357060700</v>
      </c>
      <c r="L63" s="27">
        <f>L64+L101+L98+L96</f>
        <v>339425716.02</v>
      </c>
      <c r="M63" s="28">
        <f aca="true" t="shared" si="3" ref="M63:M97">L63/K63*100</f>
        <v>95.0610683337595</v>
      </c>
      <c r="N63" s="1"/>
    </row>
    <row r="64" spans="1:15" ht="45.75" customHeight="1">
      <c r="A64" s="15" t="s">
        <v>743</v>
      </c>
      <c r="B64" s="53" t="s">
        <v>744</v>
      </c>
      <c r="C64" s="70"/>
      <c r="D64" s="71"/>
      <c r="E64" s="103" t="s">
        <v>745</v>
      </c>
      <c r="F64" s="103"/>
      <c r="G64" s="103"/>
      <c r="H64" s="103"/>
      <c r="I64" s="103"/>
      <c r="J64" s="103"/>
      <c r="K64" s="27">
        <f>K65+K69+K78+K91</f>
        <v>307060700</v>
      </c>
      <c r="L64" s="27">
        <f>L65+L69+L78+L91</f>
        <v>303025077.55</v>
      </c>
      <c r="M64" s="28">
        <f t="shared" si="3"/>
        <v>98.68572485830978</v>
      </c>
      <c r="N64" s="1"/>
      <c r="O64" s="21"/>
    </row>
    <row r="65" spans="1:14" ht="39" customHeight="1">
      <c r="A65" s="15" t="s">
        <v>746</v>
      </c>
      <c r="B65" s="53" t="s">
        <v>747</v>
      </c>
      <c r="C65" s="70"/>
      <c r="D65" s="71"/>
      <c r="E65" s="103" t="s">
        <v>748</v>
      </c>
      <c r="F65" s="103"/>
      <c r="G65" s="103"/>
      <c r="H65" s="103"/>
      <c r="I65" s="103"/>
      <c r="J65" s="103"/>
      <c r="K65" s="27">
        <f>K66</f>
        <v>3001000</v>
      </c>
      <c r="L65" s="27">
        <f>L66</f>
        <v>3001000</v>
      </c>
      <c r="M65" s="28">
        <f t="shared" si="3"/>
        <v>100</v>
      </c>
      <c r="N65" s="1"/>
    </row>
    <row r="66" spans="1:14" ht="54" customHeight="1">
      <c r="A66" s="15" t="s">
        <v>749</v>
      </c>
      <c r="B66" s="72" t="s">
        <v>750</v>
      </c>
      <c r="C66" s="59"/>
      <c r="D66" s="60"/>
      <c r="E66" s="94" t="s">
        <v>751</v>
      </c>
      <c r="F66" s="94"/>
      <c r="G66" s="94"/>
      <c r="H66" s="94"/>
      <c r="I66" s="94"/>
      <c r="J66" s="94"/>
      <c r="K66" s="52">
        <f>K67+K68</f>
        <v>3001000</v>
      </c>
      <c r="L66" s="52">
        <f>L67+L68</f>
        <v>3001000</v>
      </c>
      <c r="M66" s="45">
        <f t="shared" si="3"/>
        <v>100</v>
      </c>
      <c r="N66" s="1"/>
    </row>
    <row r="67" spans="1:14" ht="86.25" customHeight="1">
      <c r="A67" s="15" t="s">
        <v>752</v>
      </c>
      <c r="B67" s="72"/>
      <c r="C67" s="104"/>
      <c r="D67" s="105"/>
      <c r="E67" s="42" t="s">
        <v>753</v>
      </c>
      <c r="F67" s="106"/>
      <c r="G67" s="106"/>
      <c r="H67" s="106"/>
      <c r="I67" s="106"/>
      <c r="J67" s="107"/>
      <c r="K67" s="52">
        <v>1697000</v>
      </c>
      <c r="L67" s="108">
        <v>1697000</v>
      </c>
      <c r="M67" s="45">
        <f t="shared" si="3"/>
        <v>100</v>
      </c>
      <c r="N67" s="1"/>
    </row>
    <row r="68" spans="1:14" ht="121.5" customHeight="1">
      <c r="A68" s="15" t="s">
        <v>754</v>
      </c>
      <c r="B68" s="72"/>
      <c r="C68" s="104"/>
      <c r="D68" s="105"/>
      <c r="E68" s="42" t="s">
        <v>755</v>
      </c>
      <c r="F68" s="106"/>
      <c r="G68" s="106"/>
      <c r="H68" s="106"/>
      <c r="I68" s="106"/>
      <c r="J68" s="107"/>
      <c r="K68" s="52">
        <v>1304000</v>
      </c>
      <c r="L68" s="45">
        <v>1304000</v>
      </c>
      <c r="M68" s="45">
        <f t="shared" si="3"/>
        <v>100</v>
      </c>
      <c r="N68" s="1"/>
    </row>
    <row r="69" spans="1:14" ht="52.5" customHeight="1">
      <c r="A69" s="15" t="s">
        <v>756</v>
      </c>
      <c r="B69" s="53" t="s">
        <v>757</v>
      </c>
      <c r="C69" s="29"/>
      <c r="D69" s="30"/>
      <c r="E69" s="25" t="s">
        <v>758</v>
      </c>
      <c r="F69" s="26"/>
      <c r="G69" s="26"/>
      <c r="H69" s="26"/>
      <c r="I69" s="26"/>
      <c r="J69" s="26"/>
      <c r="K69" s="27">
        <f>K72+K71+K70</f>
        <v>163516400</v>
      </c>
      <c r="L69" s="27">
        <f>L72+L71+L70</f>
        <v>161884807</v>
      </c>
      <c r="M69" s="28">
        <f t="shared" si="3"/>
        <v>99.00218387880359</v>
      </c>
      <c r="N69" s="1"/>
    </row>
    <row r="70" spans="1:14" ht="64.5" customHeight="1">
      <c r="A70" s="15" t="s">
        <v>759</v>
      </c>
      <c r="B70" s="49" t="s">
        <v>760</v>
      </c>
      <c r="C70" s="64"/>
      <c r="D70" s="65"/>
      <c r="E70" s="49" t="s">
        <v>761</v>
      </c>
      <c r="F70" s="50"/>
      <c r="G70" s="50"/>
      <c r="H70" s="50"/>
      <c r="I70" s="50"/>
      <c r="J70" s="51"/>
      <c r="K70" s="52">
        <v>682200</v>
      </c>
      <c r="L70" s="52">
        <f>682200</f>
        <v>682200</v>
      </c>
      <c r="M70" s="45">
        <f t="shared" si="3"/>
        <v>100</v>
      </c>
      <c r="N70" s="1"/>
    </row>
    <row r="71" spans="1:14" ht="75" customHeight="1">
      <c r="A71" s="15" t="s">
        <v>762</v>
      </c>
      <c r="B71" s="63" t="s">
        <v>763</v>
      </c>
      <c r="C71" s="64"/>
      <c r="D71" s="65"/>
      <c r="E71" s="49" t="s">
        <v>764</v>
      </c>
      <c r="F71" s="50"/>
      <c r="G71" s="50"/>
      <c r="H71" s="50"/>
      <c r="I71" s="50"/>
      <c r="J71" s="109"/>
      <c r="K71" s="52">
        <v>70000000</v>
      </c>
      <c r="L71" s="52">
        <v>69994407</v>
      </c>
      <c r="M71" s="45">
        <f t="shared" si="3"/>
        <v>99.99201</v>
      </c>
      <c r="N71" s="1"/>
    </row>
    <row r="72" spans="1:14" ht="39.75" customHeight="1">
      <c r="A72" s="15" t="s">
        <v>765</v>
      </c>
      <c r="B72" s="42" t="s">
        <v>766</v>
      </c>
      <c r="C72" s="43"/>
      <c r="D72" s="68"/>
      <c r="E72" s="42" t="s">
        <v>767</v>
      </c>
      <c r="F72" s="43"/>
      <c r="G72" s="43"/>
      <c r="H72" s="43"/>
      <c r="I72" s="43"/>
      <c r="J72" s="43"/>
      <c r="K72" s="52">
        <f>K73+K74+K75+K76+K77</f>
        <v>92834200</v>
      </c>
      <c r="L72" s="52">
        <f>L73+L74+L75+L76+L77</f>
        <v>91208200</v>
      </c>
      <c r="M72" s="45">
        <f t="shared" si="3"/>
        <v>98.24849031930043</v>
      </c>
      <c r="N72" s="1"/>
    </row>
    <row r="73" spans="1:14" ht="101.25" customHeight="1">
      <c r="A73" s="15" t="s">
        <v>768</v>
      </c>
      <c r="B73" s="62" t="s">
        <v>769</v>
      </c>
      <c r="C73" s="29"/>
      <c r="D73" s="30"/>
      <c r="E73" s="42" t="s">
        <v>770</v>
      </c>
      <c r="F73" s="43"/>
      <c r="G73" s="43"/>
      <c r="H73" s="43"/>
      <c r="I73" s="43"/>
      <c r="J73" s="43"/>
      <c r="K73" s="52">
        <v>81286000</v>
      </c>
      <c r="L73" s="45">
        <v>79660000</v>
      </c>
      <c r="M73" s="45">
        <f t="shared" si="3"/>
        <v>97.99965553723888</v>
      </c>
      <c r="N73" s="1"/>
    </row>
    <row r="74" spans="1:14" ht="40.5" customHeight="1">
      <c r="A74" s="15" t="s">
        <v>771</v>
      </c>
      <c r="B74" s="62" t="s">
        <v>772</v>
      </c>
      <c r="C74" s="29"/>
      <c r="D74" s="30"/>
      <c r="E74" s="42" t="s">
        <v>773</v>
      </c>
      <c r="F74" s="43"/>
      <c r="G74" s="43"/>
      <c r="H74" s="43"/>
      <c r="I74" s="43"/>
      <c r="J74" s="43"/>
      <c r="K74" s="52">
        <v>8289000</v>
      </c>
      <c r="L74" s="45">
        <v>8289000</v>
      </c>
      <c r="M74" s="45">
        <f t="shared" si="3"/>
        <v>100</v>
      </c>
      <c r="N74" s="1"/>
    </row>
    <row r="75" spans="1:14" ht="33" customHeight="1">
      <c r="A75" s="15" t="s">
        <v>774</v>
      </c>
      <c r="B75" s="62" t="s">
        <v>772</v>
      </c>
      <c r="C75" s="29"/>
      <c r="D75" s="30"/>
      <c r="E75" s="42" t="s">
        <v>775</v>
      </c>
      <c r="F75" s="106"/>
      <c r="G75" s="106"/>
      <c r="H75" s="106"/>
      <c r="I75" s="106"/>
      <c r="J75" s="107"/>
      <c r="K75" s="52">
        <v>3140600</v>
      </c>
      <c r="L75" s="45">
        <v>3140600</v>
      </c>
      <c r="M75" s="45">
        <f t="shared" si="3"/>
        <v>100</v>
      </c>
      <c r="N75" s="1"/>
    </row>
    <row r="76" spans="1:14" ht="50.25" customHeight="1">
      <c r="A76" s="15" t="s">
        <v>776</v>
      </c>
      <c r="B76" s="63" t="s">
        <v>769</v>
      </c>
      <c r="C76" s="64"/>
      <c r="D76" s="65"/>
      <c r="E76" s="49" t="s">
        <v>777</v>
      </c>
      <c r="F76" s="50"/>
      <c r="G76" s="50"/>
      <c r="H76" s="50"/>
      <c r="I76" s="50"/>
      <c r="J76" s="110"/>
      <c r="K76" s="52">
        <v>27600</v>
      </c>
      <c r="L76" s="45">
        <v>27600</v>
      </c>
      <c r="M76" s="45">
        <f t="shared" si="3"/>
        <v>100</v>
      </c>
      <c r="N76" s="1"/>
    </row>
    <row r="77" spans="1:14" ht="57" customHeight="1">
      <c r="A77" s="15" t="s">
        <v>778</v>
      </c>
      <c r="B77" s="42" t="s">
        <v>779</v>
      </c>
      <c r="C77" s="43"/>
      <c r="D77" s="68"/>
      <c r="E77" s="49" t="s">
        <v>780</v>
      </c>
      <c r="F77" s="111"/>
      <c r="G77" s="111"/>
      <c r="H77" s="111"/>
      <c r="I77" s="111"/>
      <c r="J77" s="112"/>
      <c r="K77" s="45">
        <v>91000</v>
      </c>
      <c r="L77" s="45">
        <v>91000</v>
      </c>
      <c r="M77" s="45">
        <f t="shared" si="3"/>
        <v>100</v>
      </c>
      <c r="N77" s="1"/>
    </row>
    <row r="78" spans="1:14" ht="40.5" customHeight="1">
      <c r="A78" s="15" t="s">
        <v>781</v>
      </c>
      <c r="B78" s="53" t="s">
        <v>782</v>
      </c>
      <c r="C78" s="70"/>
      <c r="D78" s="71"/>
      <c r="E78" s="25" t="s">
        <v>783</v>
      </c>
      <c r="F78" s="26"/>
      <c r="G78" s="26"/>
      <c r="H78" s="26"/>
      <c r="I78" s="26"/>
      <c r="J78" s="26"/>
      <c r="K78" s="113">
        <f>K79+K80+K81+K82+K88</f>
        <v>139322700</v>
      </c>
      <c r="L78" s="113">
        <f>L79+L80+L81+L82+L88</f>
        <v>136918670.55</v>
      </c>
      <c r="M78" s="28">
        <f t="shared" si="3"/>
        <v>98.27448832817625</v>
      </c>
      <c r="N78" s="1"/>
    </row>
    <row r="79" spans="1:14" ht="105.75" customHeight="1">
      <c r="A79" s="15" t="s">
        <v>784</v>
      </c>
      <c r="B79" s="42" t="s">
        <v>785</v>
      </c>
      <c r="C79" s="43"/>
      <c r="D79" s="68"/>
      <c r="E79" s="42" t="s">
        <v>786</v>
      </c>
      <c r="F79" s="43"/>
      <c r="G79" s="43"/>
      <c r="H79" s="43"/>
      <c r="I79" s="43"/>
      <c r="J79" s="43"/>
      <c r="K79" s="52">
        <v>7467000</v>
      </c>
      <c r="L79" s="45">
        <f>6864677.76</f>
        <v>6864677.76</v>
      </c>
      <c r="M79" s="45">
        <f t="shared" si="3"/>
        <v>91.9335443953395</v>
      </c>
      <c r="N79" s="1"/>
    </row>
    <row r="80" spans="1:14" ht="128.25" customHeight="1">
      <c r="A80" s="15" t="s">
        <v>787</v>
      </c>
      <c r="B80" s="62" t="s">
        <v>788</v>
      </c>
      <c r="C80" s="29"/>
      <c r="D80" s="30"/>
      <c r="E80" s="42" t="s">
        <v>789</v>
      </c>
      <c r="F80" s="43"/>
      <c r="G80" s="43"/>
      <c r="H80" s="43"/>
      <c r="I80" s="43"/>
      <c r="J80" s="43"/>
      <c r="K80" s="52">
        <v>869700</v>
      </c>
      <c r="L80" s="45">
        <v>869670</v>
      </c>
      <c r="M80" s="45">
        <f t="shared" si="3"/>
        <v>99.99655053466712</v>
      </c>
      <c r="N80" s="1"/>
    </row>
    <row r="81" spans="1:14" ht="104.25" customHeight="1">
      <c r="A81" s="15" t="s">
        <v>790</v>
      </c>
      <c r="B81" s="62" t="s">
        <v>791</v>
      </c>
      <c r="C81" s="29"/>
      <c r="D81" s="30"/>
      <c r="E81" s="42" t="s">
        <v>792</v>
      </c>
      <c r="F81" s="43"/>
      <c r="G81" s="43"/>
      <c r="H81" s="43"/>
      <c r="I81" s="43"/>
      <c r="J81" s="43"/>
      <c r="K81" s="52">
        <v>1862000</v>
      </c>
      <c r="L81" s="45">
        <f>1276725.86</f>
        <v>1276725.86</v>
      </c>
      <c r="M81" s="45">
        <f t="shared" si="3"/>
        <v>68.56744683136414</v>
      </c>
      <c r="N81" s="1"/>
    </row>
    <row r="82" spans="1:14" ht="69" customHeight="1">
      <c r="A82" s="15" t="s">
        <v>793</v>
      </c>
      <c r="B82" s="42" t="s">
        <v>794</v>
      </c>
      <c r="C82" s="43"/>
      <c r="D82" s="68"/>
      <c r="E82" s="42" t="s">
        <v>795</v>
      </c>
      <c r="F82" s="43"/>
      <c r="G82" s="43"/>
      <c r="H82" s="43"/>
      <c r="I82" s="43"/>
      <c r="J82" s="43"/>
      <c r="K82" s="52">
        <f>K83+K84+K85+K86+K87</f>
        <v>17926000</v>
      </c>
      <c r="L82" s="52">
        <f>L83+L84+L85+L86</f>
        <v>16709596.93</v>
      </c>
      <c r="M82" s="45">
        <f t="shared" si="3"/>
        <v>93.21430843467589</v>
      </c>
      <c r="N82" s="1"/>
    </row>
    <row r="83" spans="1:14" ht="108" customHeight="1">
      <c r="A83" s="15" t="s">
        <v>796</v>
      </c>
      <c r="B83" s="62" t="s">
        <v>797</v>
      </c>
      <c r="C83" s="29"/>
      <c r="D83" s="30"/>
      <c r="E83" s="42" t="s">
        <v>798</v>
      </c>
      <c r="F83" s="43"/>
      <c r="G83" s="43"/>
      <c r="H83" s="43"/>
      <c r="I83" s="43"/>
      <c r="J83" s="43"/>
      <c r="K83" s="52">
        <v>236000</v>
      </c>
      <c r="L83" s="45">
        <v>236000</v>
      </c>
      <c r="M83" s="45">
        <f t="shared" si="3"/>
        <v>100</v>
      </c>
      <c r="N83" s="1"/>
    </row>
    <row r="84" spans="1:14" ht="75.75" customHeight="1">
      <c r="A84" s="15" t="s">
        <v>799</v>
      </c>
      <c r="B84" s="62" t="s">
        <v>797</v>
      </c>
      <c r="C84" s="29"/>
      <c r="D84" s="30"/>
      <c r="E84" s="42" t="s">
        <v>854</v>
      </c>
      <c r="F84" s="43"/>
      <c r="G84" s="43"/>
      <c r="H84" s="43"/>
      <c r="I84" s="43"/>
      <c r="J84" s="43"/>
      <c r="K84" s="52">
        <v>17455000</v>
      </c>
      <c r="L84" s="45">
        <v>16381596.93</v>
      </c>
      <c r="M84" s="45">
        <f t="shared" si="3"/>
        <v>93.85045505585792</v>
      </c>
      <c r="N84" s="1"/>
    </row>
    <row r="85" spans="1:14" ht="135" customHeight="1">
      <c r="A85" s="15" t="s">
        <v>800</v>
      </c>
      <c r="B85" s="62" t="s">
        <v>797</v>
      </c>
      <c r="C85" s="29"/>
      <c r="D85" s="30"/>
      <c r="E85" s="114" t="s">
        <v>801</v>
      </c>
      <c r="F85" s="106"/>
      <c r="G85" s="106"/>
      <c r="H85" s="106"/>
      <c r="I85" s="106"/>
      <c r="J85" s="107"/>
      <c r="K85" s="52">
        <v>100</v>
      </c>
      <c r="L85" s="45">
        <v>100</v>
      </c>
      <c r="M85" s="45">
        <f t="shared" si="3"/>
        <v>100</v>
      </c>
      <c r="N85" s="1"/>
    </row>
    <row r="86" spans="1:14" ht="66.75" customHeight="1">
      <c r="A86" s="15" t="s">
        <v>802</v>
      </c>
      <c r="B86" s="62" t="s">
        <v>797</v>
      </c>
      <c r="C86" s="29"/>
      <c r="D86" s="30"/>
      <c r="E86" s="114" t="s">
        <v>803</v>
      </c>
      <c r="F86" s="106"/>
      <c r="G86" s="106"/>
      <c r="H86" s="106"/>
      <c r="I86" s="106"/>
      <c r="J86" s="107"/>
      <c r="K86" s="52">
        <v>91900</v>
      </c>
      <c r="L86" s="45">
        <v>91900</v>
      </c>
      <c r="M86" s="45">
        <f t="shared" si="3"/>
        <v>100</v>
      </c>
      <c r="N86" s="1"/>
    </row>
    <row r="87" spans="1:14" ht="93.75" customHeight="1">
      <c r="A87" s="15" t="s">
        <v>804</v>
      </c>
      <c r="B87" s="62" t="s">
        <v>797</v>
      </c>
      <c r="C87" s="29"/>
      <c r="D87" s="30"/>
      <c r="E87" s="49" t="s">
        <v>805</v>
      </c>
      <c r="F87" s="50"/>
      <c r="G87" s="50"/>
      <c r="H87" s="50"/>
      <c r="I87" s="50"/>
      <c r="J87" s="51"/>
      <c r="K87" s="52">
        <v>143000</v>
      </c>
      <c r="L87" s="45">
        <v>0</v>
      </c>
      <c r="M87" s="45">
        <f t="shared" si="3"/>
        <v>0</v>
      </c>
      <c r="N87" s="1"/>
    </row>
    <row r="88" spans="1:14" ht="43.5" customHeight="1">
      <c r="A88" s="15" t="s">
        <v>806</v>
      </c>
      <c r="B88" s="115" t="s">
        <v>807</v>
      </c>
      <c r="C88" s="98"/>
      <c r="D88" s="99"/>
      <c r="E88" s="42" t="s">
        <v>808</v>
      </c>
      <c r="F88" s="43"/>
      <c r="G88" s="43"/>
      <c r="H88" s="43"/>
      <c r="I88" s="43"/>
      <c r="J88" s="68"/>
      <c r="K88" s="52">
        <f>K89+K90</f>
        <v>111198000</v>
      </c>
      <c r="L88" s="52">
        <f>L89+L90</f>
        <v>111198000</v>
      </c>
      <c r="M88" s="45">
        <f t="shared" si="3"/>
        <v>100</v>
      </c>
      <c r="N88" s="1"/>
    </row>
    <row r="89" spans="1:14" ht="126" customHeight="1">
      <c r="A89" s="15" t="s">
        <v>809</v>
      </c>
      <c r="B89" s="62" t="s">
        <v>810</v>
      </c>
      <c r="C89" s="29"/>
      <c r="D89" s="30"/>
      <c r="E89" s="42" t="s">
        <v>811</v>
      </c>
      <c r="F89" s="43"/>
      <c r="G89" s="43"/>
      <c r="H89" s="43"/>
      <c r="I89" s="43"/>
      <c r="J89" s="43"/>
      <c r="K89" s="52">
        <v>67671000</v>
      </c>
      <c r="L89" s="45">
        <v>67671000</v>
      </c>
      <c r="M89" s="45">
        <f t="shared" si="3"/>
        <v>100</v>
      </c>
      <c r="N89" s="1"/>
    </row>
    <row r="90" spans="1:14" ht="64.5" customHeight="1">
      <c r="A90" s="15" t="s">
        <v>812</v>
      </c>
      <c r="B90" s="42" t="s">
        <v>810</v>
      </c>
      <c r="C90" s="43"/>
      <c r="D90" s="68"/>
      <c r="E90" s="116" t="s">
        <v>813</v>
      </c>
      <c r="F90" s="117"/>
      <c r="G90" s="117"/>
      <c r="H90" s="117"/>
      <c r="I90" s="117"/>
      <c r="J90" s="118"/>
      <c r="K90" s="119">
        <v>43527000</v>
      </c>
      <c r="L90" s="45">
        <v>43527000</v>
      </c>
      <c r="M90" s="45">
        <f t="shared" si="3"/>
        <v>100</v>
      </c>
      <c r="N90" s="1"/>
    </row>
    <row r="91" spans="1:14" ht="36.75" customHeight="1">
      <c r="A91" s="15" t="s">
        <v>814</v>
      </c>
      <c r="B91" s="120" t="s">
        <v>815</v>
      </c>
      <c r="C91" s="121"/>
      <c r="D91" s="122"/>
      <c r="E91" s="120" t="s">
        <v>816</v>
      </c>
      <c r="F91" s="121"/>
      <c r="G91" s="121"/>
      <c r="H91" s="121"/>
      <c r="I91" s="121"/>
      <c r="J91" s="123"/>
      <c r="K91" s="61">
        <f>K93+K92</f>
        <v>1220600</v>
      </c>
      <c r="L91" s="61">
        <f>L93+L92</f>
        <v>1220600</v>
      </c>
      <c r="M91" s="28">
        <f t="shared" si="3"/>
        <v>100</v>
      </c>
      <c r="N91" s="1"/>
    </row>
    <row r="92" spans="1:14" ht="84.75" customHeight="1">
      <c r="A92" s="15" t="s">
        <v>817</v>
      </c>
      <c r="B92" s="49" t="s">
        <v>818</v>
      </c>
      <c r="C92" s="64"/>
      <c r="D92" s="65"/>
      <c r="E92" s="49" t="s">
        <v>819</v>
      </c>
      <c r="F92" s="50"/>
      <c r="G92" s="50"/>
      <c r="H92" s="50"/>
      <c r="I92" s="50"/>
      <c r="J92" s="51"/>
      <c r="K92" s="119">
        <v>14600</v>
      </c>
      <c r="L92" s="119">
        <v>14600</v>
      </c>
      <c r="M92" s="45">
        <f t="shared" si="3"/>
        <v>100</v>
      </c>
      <c r="N92" s="1"/>
    </row>
    <row r="93" spans="1:14" ht="47.25" customHeight="1">
      <c r="A93" s="15" t="s">
        <v>820</v>
      </c>
      <c r="B93" s="49" t="s">
        <v>821</v>
      </c>
      <c r="C93" s="50"/>
      <c r="D93" s="51"/>
      <c r="E93" s="49" t="s">
        <v>822</v>
      </c>
      <c r="F93" s="50"/>
      <c r="G93" s="50"/>
      <c r="H93" s="50"/>
      <c r="I93" s="50"/>
      <c r="J93" s="123"/>
      <c r="K93" s="119">
        <f>K94+K95</f>
        <v>1206000</v>
      </c>
      <c r="L93" s="119">
        <f>L94+L95</f>
        <v>1206000</v>
      </c>
      <c r="M93" s="45">
        <f t="shared" si="3"/>
        <v>100</v>
      </c>
      <c r="N93" s="1"/>
    </row>
    <row r="94" spans="1:14" ht="221.25" customHeight="1">
      <c r="A94" s="15" t="s">
        <v>823</v>
      </c>
      <c r="B94" s="49" t="s">
        <v>824</v>
      </c>
      <c r="C94" s="50"/>
      <c r="D94" s="51"/>
      <c r="E94" s="49" t="s">
        <v>825</v>
      </c>
      <c r="F94" s="50"/>
      <c r="G94" s="50"/>
      <c r="H94" s="50"/>
      <c r="I94" s="50"/>
      <c r="J94" s="123"/>
      <c r="K94" s="119">
        <v>806000</v>
      </c>
      <c r="L94" s="108">
        <v>806000</v>
      </c>
      <c r="M94" s="45">
        <f t="shared" si="3"/>
        <v>100</v>
      </c>
      <c r="N94" s="1"/>
    </row>
    <row r="95" spans="1:14" ht="94.5" customHeight="1">
      <c r="A95" s="15" t="s">
        <v>826</v>
      </c>
      <c r="B95" s="49" t="s">
        <v>824</v>
      </c>
      <c r="C95" s="50"/>
      <c r="D95" s="51"/>
      <c r="E95" s="49" t="s">
        <v>827</v>
      </c>
      <c r="F95" s="50"/>
      <c r="G95" s="50"/>
      <c r="H95" s="50"/>
      <c r="I95" s="50"/>
      <c r="J95" s="123"/>
      <c r="K95" s="119">
        <v>400000</v>
      </c>
      <c r="L95" s="108">
        <f>400000</f>
        <v>400000</v>
      </c>
      <c r="M95" s="45">
        <f t="shared" si="3"/>
        <v>100</v>
      </c>
      <c r="N95" s="1"/>
    </row>
    <row r="96" spans="1:14" ht="19.5" customHeight="1">
      <c r="A96" s="15" t="s">
        <v>828</v>
      </c>
      <c r="B96" s="49" t="s">
        <v>829</v>
      </c>
      <c r="C96" s="50"/>
      <c r="D96" s="51"/>
      <c r="E96" s="120" t="s">
        <v>830</v>
      </c>
      <c r="F96" s="121"/>
      <c r="G96" s="121"/>
      <c r="H96" s="121"/>
      <c r="I96" s="121"/>
      <c r="J96" s="122"/>
      <c r="K96" s="61">
        <f>K97</f>
        <v>50000000</v>
      </c>
      <c r="L96" s="61">
        <f>L97</f>
        <v>50000000</v>
      </c>
      <c r="M96" s="28">
        <f t="shared" si="3"/>
        <v>100</v>
      </c>
      <c r="N96" s="1"/>
    </row>
    <row r="97" spans="1:14" ht="35.25" customHeight="1">
      <c r="A97" s="15" t="s">
        <v>831</v>
      </c>
      <c r="B97" s="49" t="s">
        <v>832</v>
      </c>
      <c r="C97" s="50"/>
      <c r="D97" s="51"/>
      <c r="E97" s="49" t="s">
        <v>833</v>
      </c>
      <c r="F97" s="50"/>
      <c r="G97" s="50"/>
      <c r="H97" s="50"/>
      <c r="I97" s="50"/>
      <c r="J97" s="51"/>
      <c r="K97" s="52">
        <v>50000000</v>
      </c>
      <c r="L97" s="45">
        <v>50000000</v>
      </c>
      <c r="M97" s="45">
        <f t="shared" si="3"/>
        <v>100</v>
      </c>
      <c r="N97" s="1"/>
    </row>
    <row r="98" spans="1:14" s="126" customFormat="1" ht="133.5" customHeight="1">
      <c r="A98" s="15" t="s">
        <v>834</v>
      </c>
      <c r="B98" s="120" t="s">
        <v>835</v>
      </c>
      <c r="C98" s="121"/>
      <c r="D98" s="122"/>
      <c r="E98" s="120" t="s">
        <v>836</v>
      </c>
      <c r="F98" s="121"/>
      <c r="G98" s="121"/>
      <c r="H98" s="121"/>
      <c r="I98" s="121"/>
      <c r="J98" s="124"/>
      <c r="K98" s="27">
        <f>K99+K100</f>
        <v>0</v>
      </c>
      <c r="L98" s="27">
        <f>L99+L100</f>
        <v>164016.9</v>
      </c>
      <c r="M98" s="28">
        <v>0</v>
      </c>
      <c r="N98" s="125"/>
    </row>
    <row r="99" spans="1:14" ht="61.5" customHeight="1">
      <c r="A99" s="15" t="s">
        <v>837</v>
      </c>
      <c r="B99" s="49" t="s">
        <v>838</v>
      </c>
      <c r="C99" s="50"/>
      <c r="D99" s="51"/>
      <c r="E99" s="49" t="s">
        <v>839</v>
      </c>
      <c r="F99" s="50"/>
      <c r="G99" s="50"/>
      <c r="H99" s="50"/>
      <c r="I99" s="50"/>
      <c r="J99" s="127"/>
      <c r="K99" s="52">
        <v>0</v>
      </c>
      <c r="L99" s="128">
        <v>163916.9</v>
      </c>
      <c r="M99" s="45">
        <v>0</v>
      </c>
      <c r="N99" s="1"/>
    </row>
    <row r="100" spans="1:14" ht="61.5" customHeight="1">
      <c r="A100" s="15" t="s">
        <v>840</v>
      </c>
      <c r="B100" s="49" t="s">
        <v>841</v>
      </c>
      <c r="C100" s="50"/>
      <c r="D100" s="51"/>
      <c r="E100" s="49" t="s">
        <v>839</v>
      </c>
      <c r="F100" s="50"/>
      <c r="G100" s="50"/>
      <c r="H100" s="50"/>
      <c r="I100" s="50"/>
      <c r="J100" s="127"/>
      <c r="K100" s="52">
        <v>0</v>
      </c>
      <c r="L100" s="128">
        <v>100</v>
      </c>
      <c r="M100" s="45">
        <v>0</v>
      </c>
      <c r="N100" s="1"/>
    </row>
    <row r="101" spans="1:14" ht="60" customHeight="1">
      <c r="A101" s="15" t="s">
        <v>842</v>
      </c>
      <c r="B101" s="25" t="s">
        <v>843</v>
      </c>
      <c r="C101" s="26"/>
      <c r="D101" s="129"/>
      <c r="E101" s="25" t="s">
        <v>844</v>
      </c>
      <c r="F101" s="26"/>
      <c r="G101" s="26"/>
      <c r="H101" s="26"/>
      <c r="I101" s="26"/>
      <c r="J101" s="129"/>
      <c r="K101" s="28">
        <f>K102+K103</f>
        <v>0</v>
      </c>
      <c r="L101" s="28">
        <f>L102+L103</f>
        <v>-13763378.430000002</v>
      </c>
      <c r="M101" s="28">
        <v>0</v>
      </c>
      <c r="N101" s="1"/>
    </row>
    <row r="102" spans="1:14" ht="77.25" customHeight="1">
      <c r="A102" s="15" t="s">
        <v>845</v>
      </c>
      <c r="B102" s="49" t="s">
        <v>846</v>
      </c>
      <c r="C102" s="50"/>
      <c r="D102" s="51"/>
      <c r="E102" s="49" t="s">
        <v>847</v>
      </c>
      <c r="F102" s="50"/>
      <c r="G102" s="50"/>
      <c r="H102" s="50"/>
      <c r="I102" s="50"/>
      <c r="J102" s="130"/>
      <c r="K102" s="108">
        <v>0</v>
      </c>
      <c r="L102" s="131">
        <f>-255603.55</f>
        <v>-255603.55</v>
      </c>
      <c r="M102" s="45">
        <v>0</v>
      </c>
      <c r="N102" s="1"/>
    </row>
    <row r="103" spans="1:14" ht="72" customHeight="1">
      <c r="A103" s="15" t="s">
        <v>848</v>
      </c>
      <c r="B103" s="49" t="s">
        <v>849</v>
      </c>
      <c r="C103" s="50"/>
      <c r="D103" s="51"/>
      <c r="E103" s="49" t="s">
        <v>847</v>
      </c>
      <c r="F103" s="50"/>
      <c r="G103" s="50"/>
      <c r="H103" s="50"/>
      <c r="I103" s="50"/>
      <c r="J103" s="130"/>
      <c r="K103" s="108">
        <v>0</v>
      </c>
      <c r="L103" s="131">
        <f>-13507774.88</f>
        <v>-13507774.88</v>
      </c>
      <c r="M103" s="45">
        <v>0</v>
      </c>
      <c r="N103" s="1"/>
    </row>
    <row r="104" spans="1:14" ht="16.5" thickBot="1">
      <c r="A104" s="15" t="s">
        <v>850</v>
      </c>
      <c r="B104" s="132"/>
      <c r="C104" s="133"/>
      <c r="D104" s="134"/>
      <c r="E104" s="135" t="s">
        <v>851</v>
      </c>
      <c r="F104" s="133"/>
      <c r="G104" s="133"/>
      <c r="H104" s="133"/>
      <c r="I104" s="133"/>
      <c r="J104" s="134"/>
      <c r="K104" s="136">
        <f>K63+K6</f>
        <v>522381700</v>
      </c>
      <c r="L104" s="136">
        <f>L63+L6</f>
        <v>479735266</v>
      </c>
      <c r="M104" s="137">
        <f>L104/K104*100</f>
        <v>91.83615467387162</v>
      </c>
      <c r="N104" s="1"/>
    </row>
    <row r="105" spans="1:14" ht="13.5">
      <c r="A105" s="138"/>
      <c r="B105" s="139"/>
      <c r="C105" s="139"/>
      <c r="D105" s="139"/>
      <c r="E105" s="140"/>
      <c r="F105" s="140"/>
      <c r="G105" s="140"/>
      <c r="H105" s="140"/>
      <c r="I105" s="140"/>
      <c r="J105" s="140"/>
      <c r="K105" s="141"/>
      <c r="L105" s="141"/>
      <c r="M105" s="141"/>
      <c r="N105" s="142"/>
    </row>
    <row r="106" spans="1:14" ht="12.75">
      <c r="A106" s="138"/>
      <c r="B106" s="143"/>
      <c r="C106" s="143"/>
      <c r="D106" s="143"/>
      <c r="E106" s="143"/>
      <c r="F106" s="143"/>
      <c r="G106" s="143"/>
      <c r="H106" s="143"/>
      <c r="I106" s="143"/>
      <c r="J106" s="143"/>
      <c r="K106" s="144"/>
      <c r="L106" s="144"/>
      <c r="M106" s="144"/>
      <c r="N106" s="142"/>
    </row>
    <row r="107" spans="1:14" ht="12.75">
      <c r="A107" s="138"/>
      <c r="B107" s="145"/>
      <c r="C107" s="145"/>
      <c r="D107" s="145"/>
      <c r="E107" s="146"/>
      <c r="F107" s="146"/>
      <c r="G107" s="146"/>
      <c r="H107" s="146"/>
      <c r="I107" s="146"/>
      <c r="J107" s="146"/>
      <c r="K107" s="147"/>
      <c r="L107" s="147"/>
      <c r="M107" s="147"/>
      <c r="N107" s="148"/>
    </row>
    <row r="108" spans="1:14" ht="12.75">
      <c r="A108" s="138"/>
      <c r="B108" s="149"/>
      <c r="C108" s="149"/>
      <c r="D108" s="149"/>
      <c r="E108" s="150"/>
      <c r="F108" s="150"/>
      <c r="G108" s="150"/>
      <c r="H108" s="150"/>
      <c r="I108" s="150"/>
      <c r="J108" s="150"/>
      <c r="K108" s="147"/>
      <c r="L108" s="147"/>
      <c r="M108" s="147"/>
      <c r="N108" s="148"/>
    </row>
    <row r="109" spans="1:14" ht="12.75">
      <c r="A109" s="138"/>
      <c r="B109" s="145"/>
      <c r="C109" s="145"/>
      <c r="D109" s="145"/>
      <c r="E109" s="146"/>
      <c r="F109" s="146"/>
      <c r="G109" s="146"/>
      <c r="H109" s="146"/>
      <c r="I109" s="146"/>
      <c r="J109" s="146"/>
      <c r="K109" s="147"/>
      <c r="L109" s="147"/>
      <c r="M109" s="147"/>
      <c r="N109" s="148"/>
    </row>
    <row r="110" spans="1:14" ht="12.75">
      <c r="A110" s="138"/>
      <c r="B110" s="143"/>
      <c r="C110" s="143"/>
      <c r="D110" s="143"/>
      <c r="E110" s="146"/>
      <c r="F110" s="146"/>
      <c r="G110" s="146"/>
      <c r="H110" s="146"/>
      <c r="I110" s="146"/>
      <c r="J110" s="146"/>
      <c r="K110" s="147"/>
      <c r="L110" s="147"/>
      <c r="M110" s="147"/>
      <c r="N110" s="148"/>
    </row>
    <row r="111" spans="1:14" ht="12.75">
      <c r="A111" s="138"/>
      <c r="B111" s="145"/>
      <c r="C111" s="145"/>
      <c r="D111" s="145"/>
      <c r="E111" s="146"/>
      <c r="F111" s="146"/>
      <c r="G111" s="146"/>
      <c r="H111" s="146"/>
      <c r="I111" s="146"/>
      <c r="J111" s="146"/>
      <c r="K111" s="147"/>
      <c r="L111" s="147"/>
      <c r="M111" s="147"/>
      <c r="N111" s="148"/>
    </row>
    <row r="112" spans="1:14" ht="12.75">
      <c r="A112" s="138"/>
      <c r="B112" s="143"/>
      <c r="C112" s="143"/>
      <c r="D112" s="143"/>
      <c r="E112" s="146"/>
      <c r="F112" s="146"/>
      <c r="G112" s="146"/>
      <c r="H112" s="146"/>
      <c r="I112" s="146"/>
      <c r="J112" s="146"/>
      <c r="K112" s="147"/>
      <c r="L112" s="147"/>
      <c r="M112" s="147"/>
      <c r="N112" s="148"/>
    </row>
    <row r="113" spans="1:14" ht="12.75">
      <c r="A113" s="138"/>
      <c r="B113" s="143"/>
      <c r="C113" s="143"/>
      <c r="D113" s="143"/>
      <c r="E113" s="151"/>
      <c r="F113" s="152"/>
      <c r="G113" s="152"/>
      <c r="H113" s="152"/>
      <c r="I113" s="152"/>
      <c r="J113" s="152"/>
      <c r="K113" s="147"/>
      <c r="L113" s="147"/>
      <c r="M113" s="147"/>
      <c r="N113" s="148"/>
    </row>
    <row r="114" spans="1:14" ht="12.75">
      <c r="A114" s="138"/>
      <c r="B114" s="143"/>
      <c r="C114" s="143"/>
      <c r="D114" s="143"/>
      <c r="E114" s="151"/>
      <c r="F114" s="152"/>
      <c r="G114" s="152"/>
      <c r="H114" s="152"/>
      <c r="I114" s="152"/>
      <c r="J114" s="152"/>
      <c r="K114" s="147"/>
      <c r="L114" s="147"/>
      <c r="M114" s="147"/>
      <c r="N114" s="148"/>
    </row>
    <row r="115" spans="1:14" ht="12.75">
      <c r="A115" s="138"/>
      <c r="B115" s="145"/>
      <c r="C115" s="145"/>
      <c r="D115" s="145"/>
      <c r="E115" s="153"/>
      <c r="F115" s="153"/>
      <c r="G115" s="153"/>
      <c r="H115" s="153"/>
      <c r="I115" s="153"/>
      <c r="J115" s="153"/>
      <c r="K115" s="147"/>
      <c r="L115" s="147"/>
      <c r="M115" s="147"/>
      <c r="N115" s="148"/>
    </row>
    <row r="116" spans="1:14" ht="12.75">
      <c r="A116" s="138"/>
      <c r="B116" s="145"/>
      <c r="C116" s="145"/>
      <c r="D116" s="145"/>
      <c r="E116" s="146"/>
      <c r="F116" s="146"/>
      <c r="G116" s="146"/>
      <c r="H116" s="146"/>
      <c r="I116" s="146"/>
      <c r="J116" s="146"/>
      <c r="K116" s="147"/>
      <c r="L116" s="147"/>
      <c r="M116" s="147"/>
      <c r="N116" s="148"/>
    </row>
    <row r="117" spans="1:14" ht="12.75">
      <c r="A117" s="138"/>
      <c r="B117" s="154"/>
      <c r="C117" s="145"/>
      <c r="D117" s="145"/>
      <c r="E117" s="155"/>
      <c r="F117" s="155"/>
      <c r="G117" s="155"/>
      <c r="H117" s="155"/>
      <c r="I117" s="155"/>
      <c r="J117" s="155"/>
      <c r="K117" s="156"/>
      <c r="L117" s="156"/>
      <c r="M117" s="156"/>
      <c r="N117" s="148"/>
    </row>
    <row r="118" spans="1:14" ht="12.75">
      <c r="A118" s="138"/>
      <c r="B118" s="149"/>
      <c r="C118" s="149"/>
      <c r="D118" s="149"/>
      <c r="E118" s="150"/>
      <c r="F118" s="150"/>
      <c r="G118" s="150"/>
      <c r="H118" s="150"/>
      <c r="I118" s="150"/>
      <c r="J118" s="150"/>
      <c r="K118" s="147"/>
      <c r="L118" s="147"/>
      <c r="M118" s="147"/>
      <c r="N118" s="148"/>
    </row>
    <row r="119" spans="1:14" ht="12.75">
      <c r="A119" s="138"/>
      <c r="B119" s="143"/>
      <c r="C119" s="143"/>
      <c r="D119" s="143"/>
      <c r="E119" s="146"/>
      <c r="F119" s="146"/>
      <c r="G119" s="146"/>
      <c r="H119" s="146"/>
      <c r="I119" s="146"/>
      <c r="J119" s="146"/>
      <c r="K119" s="147"/>
      <c r="L119" s="147"/>
      <c r="M119" s="147"/>
      <c r="N119" s="148"/>
    </row>
    <row r="120" spans="1:14" ht="12.75">
      <c r="A120" s="138"/>
      <c r="B120" s="143"/>
      <c r="C120" s="143"/>
      <c r="D120" s="143"/>
      <c r="E120" s="146"/>
      <c r="F120" s="146"/>
      <c r="G120" s="146"/>
      <c r="H120" s="146"/>
      <c r="I120" s="146"/>
      <c r="J120" s="146"/>
      <c r="K120" s="147"/>
      <c r="L120" s="147"/>
      <c r="M120" s="147"/>
      <c r="N120" s="148"/>
    </row>
    <row r="121" spans="1:14" ht="12.75">
      <c r="A121" s="138"/>
      <c r="B121" s="157"/>
      <c r="C121" s="157"/>
      <c r="D121" s="157"/>
      <c r="E121" s="150"/>
      <c r="F121" s="150"/>
      <c r="G121" s="150"/>
      <c r="H121" s="150"/>
      <c r="I121" s="150"/>
      <c r="J121" s="150"/>
      <c r="K121" s="147"/>
      <c r="L121" s="147"/>
      <c r="M121" s="147"/>
      <c r="N121" s="148"/>
    </row>
    <row r="122" spans="1:14" ht="12.75">
      <c r="A122" s="138"/>
      <c r="B122" s="157"/>
      <c r="C122" s="157"/>
      <c r="D122" s="157"/>
      <c r="E122" s="150"/>
      <c r="F122" s="150"/>
      <c r="G122" s="150"/>
      <c r="H122" s="150"/>
      <c r="I122" s="150"/>
      <c r="J122" s="150"/>
      <c r="K122" s="147"/>
      <c r="L122" s="147"/>
      <c r="M122" s="147"/>
      <c r="N122" s="148"/>
    </row>
    <row r="123" spans="1:14" ht="12.75">
      <c r="A123" s="138"/>
      <c r="B123" s="140"/>
      <c r="C123" s="140"/>
      <c r="D123" s="140"/>
      <c r="E123" s="158"/>
      <c r="F123" s="159"/>
      <c r="G123" s="159"/>
      <c r="H123" s="159"/>
      <c r="I123" s="159"/>
      <c r="J123" s="159"/>
      <c r="K123" s="156"/>
      <c r="L123" s="156"/>
      <c r="M123" s="156"/>
      <c r="N123" s="148"/>
    </row>
    <row r="124" spans="1:14" ht="12.75">
      <c r="A124" s="138"/>
      <c r="B124" s="140"/>
      <c r="C124" s="140"/>
      <c r="D124" s="140"/>
      <c r="E124" s="155"/>
      <c r="F124" s="155"/>
      <c r="G124" s="155"/>
      <c r="H124" s="155"/>
      <c r="I124" s="155"/>
      <c r="J124" s="155"/>
      <c r="K124" s="156"/>
      <c r="L124" s="156"/>
      <c r="M124" s="156"/>
      <c r="N124" s="148"/>
    </row>
    <row r="125" spans="1:14" ht="12.75">
      <c r="A125" s="138"/>
      <c r="B125" s="154"/>
      <c r="C125" s="145"/>
      <c r="D125" s="145"/>
      <c r="E125" s="160"/>
      <c r="F125" s="160"/>
      <c r="G125" s="160"/>
      <c r="H125" s="160"/>
      <c r="I125" s="160"/>
      <c r="J125" s="160"/>
      <c r="K125" s="156"/>
      <c r="L125" s="156"/>
      <c r="M125" s="156"/>
      <c r="N125" s="148"/>
    </row>
    <row r="126" spans="1:14" ht="12.75">
      <c r="A126" s="142"/>
      <c r="B126" s="142"/>
      <c r="C126" s="142"/>
      <c r="D126" s="142"/>
      <c r="E126" s="142"/>
      <c r="F126" s="142"/>
      <c r="G126" s="142"/>
      <c r="H126" s="142"/>
      <c r="I126" s="142"/>
      <c r="J126" s="148"/>
      <c r="K126" s="148"/>
      <c r="L126" s="148"/>
      <c r="M126" s="148"/>
      <c r="N126" s="148"/>
    </row>
    <row r="127" spans="1:14" ht="12.75">
      <c r="A127" s="142"/>
      <c r="B127" s="142"/>
      <c r="C127" s="142"/>
      <c r="D127" s="142"/>
      <c r="E127" s="142"/>
      <c r="F127" s="142"/>
      <c r="G127" s="142"/>
      <c r="H127" s="142"/>
      <c r="I127" s="142"/>
      <c r="J127" s="148"/>
      <c r="K127" s="148"/>
      <c r="L127" s="148"/>
      <c r="M127" s="148"/>
      <c r="N127" s="148"/>
    </row>
  </sheetData>
  <sheetProtection/>
  <mergeCells count="247">
    <mergeCell ref="E57:I57"/>
    <mergeCell ref="E60:I60"/>
    <mergeCell ref="B60:D60"/>
    <mergeCell ref="B95:D95"/>
    <mergeCell ref="B59:D59"/>
    <mergeCell ref="E59:I59"/>
    <mergeCell ref="B63:D63"/>
    <mergeCell ref="E63:J63"/>
    <mergeCell ref="B62:D62"/>
    <mergeCell ref="E62:I62"/>
    <mergeCell ref="B73:D73"/>
    <mergeCell ref="E73:J73"/>
    <mergeCell ref="B80:D80"/>
    <mergeCell ref="E102:I102"/>
    <mergeCell ref="B64:D64"/>
    <mergeCell ref="E64:J64"/>
    <mergeCell ref="B65:D65"/>
    <mergeCell ref="E65:J65"/>
    <mergeCell ref="B66:D66"/>
    <mergeCell ref="E66:J66"/>
    <mergeCell ref="B72:D72"/>
    <mergeCell ref="E72:J72"/>
    <mergeCell ref="E95:I95"/>
    <mergeCell ref="E103:I103"/>
    <mergeCell ref="B68:D68"/>
    <mergeCell ref="E68:J68"/>
    <mergeCell ref="B69:D69"/>
    <mergeCell ref="E69:J69"/>
    <mergeCell ref="B78:D78"/>
    <mergeCell ref="E78:J78"/>
    <mergeCell ref="B79:D79"/>
    <mergeCell ref="E79:J79"/>
    <mergeCell ref="B102:D102"/>
    <mergeCell ref="E39:J39"/>
    <mergeCell ref="E44:J44"/>
    <mergeCell ref="B42:D42"/>
    <mergeCell ref="E42:J42"/>
    <mergeCell ref="A1:K1"/>
    <mergeCell ref="A3:A4"/>
    <mergeCell ref="B3:D4"/>
    <mergeCell ref="E3:J4"/>
    <mergeCell ref="K3:K4"/>
    <mergeCell ref="B6:D6"/>
    <mergeCell ref="E6:J6"/>
    <mergeCell ref="B7:D7"/>
    <mergeCell ref="E7:J7"/>
    <mergeCell ref="L3:L4"/>
    <mergeCell ref="M3:M4"/>
    <mergeCell ref="B5:D5"/>
    <mergeCell ref="E5:J5"/>
    <mergeCell ref="B8:D8"/>
    <mergeCell ref="E8:J8"/>
    <mergeCell ref="B9:D9"/>
    <mergeCell ref="E9:J9"/>
    <mergeCell ref="B10:D10"/>
    <mergeCell ref="E10:J10"/>
    <mergeCell ref="E11:J11"/>
    <mergeCell ref="B12:D12"/>
    <mergeCell ref="E12:J12"/>
    <mergeCell ref="E15:J15"/>
    <mergeCell ref="B16:D16"/>
    <mergeCell ref="E16:J16"/>
    <mergeCell ref="B13:D13"/>
    <mergeCell ref="E13:J13"/>
    <mergeCell ref="B14:D14"/>
    <mergeCell ref="E14:J14"/>
    <mergeCell ref="B17:D17"/>
    <mergeCell ref="E17:J17"/>
    <mergeCell ref="B19:D19"/>
    <mergeCell ref="E19:J19"/>
    <mergeCell ref="B18:D18"/>
    <mergeCell ref="E18:J18"/>
    <mergeCell ref="B20:D20"/>
    <mergeCell ref="E20:J20"/>
    <mergeCell ref="B21:D21"/>
    <mergeCell ref="E21:J21"/>
    <mergeCell ref="B22:D22"/>
    <mergeCell ref="E22:J22"/>
    <mergeCell ref="B26:D26"/>
    <mergeCell ref="E26:J26"/>
    <mergeCell ref="E25:I25"/>
    <mergeCell ref="B29:D29"/>
    <mergeCell ref="E29:I29"/>
    <mergeCell ref="B30:D30"/>
    <mergeCell ref="E30:J30"/>
    <mergeCell ref="B27:D27"/>
    <mergeCell ref="E27:J27"/>
    <mergeCell ref="B28:D28"/>
    <mergeCell ref="E28:J28"/>
    <mergeCell ref="B31:D31"/>
    <mergeCell ref="E31:J31"/>
    <mergeCell ref="E32:I32"/>
    <mergeCell ref="B35:D35"/>
    <mergeCell ref="E35:J35"/>
    <mergeCell ref="B32:D32"/>
    <mergeCell ref="B33:D33"/>
    <mergeCell ref="E33:J33"/>
    <mergeCell ref="B34:D34"/>
    <mergeCell ref="E46:J46"/>
    <mergeCell ref="B45:D45"/>
    <mergeCell ref="E45:J45"/>
    <mergeCell ref="E36:J36"/>
    <mergeCell ref="B44:D44"/>
    <mergeCell ref="E37:I37"/>
    <mergeCell ref="E38:I38"/>
    <mergeCell ref="B37:D37"/>
    <mergeCell ref="B41:D41"/>
    <mergeCell ref="E41:I41"/>
    <mergeCell ref="E34:J34"/>
    <mergeCell ref="B47:D47"/>
    <mergeCell ref="E47:J47"/>
    <mergeCell ref="B48:D48"/>
    <mergeCell ref="E48:J48"/>
    <mergeCell ref="E43:J43"/>
    <mergeCell ref="B40:D40"/>
    <mergeCell ref="E40:I40"/>
    <mergeCell ref="B38:D38"/>
    <mergeCell ref="B46:D46"/>
    <mergeCell ref="B49:D49"/>
    <mergeCell ref="E49:J49"/>
    <mergeCell ref="B52:D52"/>
    <mergeCell ref="E52:J52"/>
    <mergeCell ref="B51:D51"/>
    <mergeCell ref="E51:J51"/>
    <mergeCell ref="B50:D50"/>
    <mergeCell ref="E50:J50"/>
    <mergeCell ref="E82:J82"/>
    <mergeCell ref="B53:D53"/>
    <mergeCell ref="E53:I53"/>
    <mergeCell ref="E54:I54"/>
    <mergeCell ref="E55:I55"/>
    <mergeCell ref="E56:I56"/>
    <mergeCell ref="B54:D54"/>
    <mergeCell ref="B55:D55"/>
    <mergeCell ref="B56:D56"/>
    <mergeCell ref="B57:D57"/>
    <mergeCell ref="E80:J80"/>
    <mergeCell ref="B77:D77"/>
    <mergeCell ref="E77:J77"/>
    <mergeCell ref="B81:D81"/>
    <mergeCell ref="E81:J81"/>
    <mergeCell ref="B96:D96"/>
    <mergeCell ref="E96:J96"/>
    <mergeCell ref="B86:D86"/>
    <mergeCell ref="E86:J86"/>
    <mergeCell ref="B88:D88"/>
    <mergeCell ref="E88:J88"/>
    <mergeCell ref="B91:D91"/>
    <mergeCell ref="E91:I91"/>
    <mergeCell ref="E93:I93"/>
    <mergeCell ref="E94:I94"/>
    <mergeCell ref="E97:J97"/>
    <mergeCell ref="B104:D104"/>
    <mergeCell ref="E104:J104"/>
    <mergeCell ref="B98:D98"/>
    <mergeCell ref="E98:I98"/>
    <mergeCell ref="E99:I99"/>
    <mergeCell ref="E100:I100"/>
    <mergeCell ref="B99:D99"/>
    <mergeCell ref="B100:D100"/>
    <mergeCell ref="B103:D103"/>
    <mergeCell ref="B105:D105"/>
    <mergeCell ref="E105:J105"/>
    <mergeCell ref="B106:D106"/>
    <mergeCell ref="E106:J106"/>
    <mergeCell ref="B107:D107"/>
    <mergeCell ref="E107:J107"/>
    <mergeCell ref="B108:D108"/>
    <mergeCell ref="E108:J108"/>
    <mergeCell ref="B109:D109"/>
    <mergeCell ref="E109:J109"/>
    <mergeCell ref="B110:D110"/>
    <mergeCell ref="E110:J110"/>
    <mergeCell ref="B111:D111"/>
    <mergeCell ref="E111:J111"/>
    <mergeCell ref="B112:D112"/>
    <mergeCell ref="E112:J112"/>
    <mergeCell ref="B113:D113"/>
    <mergeCell ref="E113:J113"/>
    <mergeCell ref="B114:D114"/>
    <mergeCell ref="E114:J114"/>
    <mergeCell ref="B115:D115"/>
    <mergeCell ref="E115:J115"/>
    <mergeCell ref="B116:D116"/>
    <mergeCell ref="E116:J116"/>
    <mergeCell ref="B117:D117"/>
    <mergeCell ref="E117:J117"/>
    <mergeCell ref="B118:D118"/>
    <mergeCell ref="E118:J118"/>
    <mergeCell ref="B119:D119"/>
    <mergeCell ref="E119:J119"/>
    <mergeCell ref="B120:D120"/>
    <mergeCell ref="E120:J120"/>
    <mergeCell ref="E124:J124"/>
    <mergeCell ref="B121:D121"/>
    <mergeCell ref="E121:J121"/>
    <mergeCell ref="B122:D122"/>
    <mergeCell ref="E122:J122"/>
    <mergeCell ref="B125:D125"/>
    <mergeCell ref="E125:J125"/>
    <mergeCell ref="B11:D11"/>
    <mergeCell ref="B36:D36"/>
    <mergeCell ref="B39:D39"/>
    <mergeCell ref="E61:J61"/>
    <mergeCell ref="B123:D123"/>
    <mergeCell ref="E123:J123"/>
    <mergeCell ref="B124:D124"/>
    <mergeCell ref="B25:D25"/>
    <mergeCell ref="B101:D101"/>
    <mergeCell ref="E101:J101"/>
    <mergeCell ref="B23:D23"/>
    <mergeCell ref="E23:J23"/>
    <mergeCell ref="B24:D24"/>
    <mergeCell ref="E24:J24"/>
    <mergeCell ref="B58:D58"/>
    <mergeCell ref="E58:J58"/>
    <mergeCell ref="B61:D61"/>
    <mergeCell ref="B97:D97"/>
    <mergeCell ref="B67:D67"/>
    <mergeCell ref="E67:J67"/>
    <mergeCell ref="B76:D76"/>
    <mergeCell ref="E76:I76"/>
    <mergeCell ref="B71:D71"/>
    <mergeCell ref="E71:I71"/>
    <mergeCell ref="B75:D75"/>
    <mergeCell ref="E75:J75"/>
    <mergeCell ref="B74:D74"/>
    <mergeCell ref="E74:J74"/>
    <mergeCell ref="B93:D93"/>
    <mergeCell ref="B94:D94"/>
    <mergeCell ref="B92:D92"/>
    <mergeCell ref="E92:J92"/>
    <mergeCell ref="B89:D89"/>
    <mergeCell ref="E89:J89"/>
    <mergeCell ref="B83:D83"/>
    <mergeCell ref="E83:J83"/>
    <mergeCell ref="B84:D84"/>
    <mergeCell ref="E84:J84"/>
    <mergeCell ref="B90:D90"/>
    <mergeCell ref="E90:J90"/>
    <mergeCell ref="B70:D70"/>
    <mergeCell ref="E70:J70"/>
    <mergeCell ref="B87:D87"/>
    <mergeCell ref="E87:J87"/>
    <mergeCell ref="B85:D85"/>
    <mergeCell ref="E85:J85"/>
    <mergeCell ref="B82:D8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8"/>
  <sheetViews>
    <sheetView zoomScaleSheetLayoutView="75" workbookViewId="0" topLeftCell="A3">
      <selection activeCell="G10" sqref="G10"/>
    </sheetView>
  </sheetViews>
  <sheetFormatPr defaultColWidth="9.140625" defaultRowHeight="12.75"/>
  <cols>
    <col min="1" max="2" width="6.140625" style="163" customWidth="1"/>
    <col min="3" max="3" width="9.7109375" style="163" customWidth="1"/>
    <col min="4" max="4" width="5.00390625" style="163" customWidth="1"/>
    <col min="5" max="5" width="51.421875" style="165" customWidth="1"/>
    <col min="6" max="6" width="16.00390625" style="251" customWidth="1"/>
    <col min="7" max="7" width="15.28125" style="167" customWidth="1"/>
    <col min="8" max="8" width="10.140625" style="167" customWidth="1"/>
    <col min="9" max="9" width="10.57421875" style="168" bestFit="1" customWidth="1"/>
    <col min="10" max="10" width="9.8515625" style="168" bestFit="1" customWidth="1"/>
    <col min="11" max="16384" width="9.140625" style="168" customWidth="1"/>
  </cols>
  <sheetData>
    <row r="1" spans="1:6" ht="12.75" customHeight="1" hidden="1">
      <c r="A1" s="163" t="s">
        <v>856</v>
      </c>
      <c r="B1" s="164" t="s">
        <v>857</v>
      </c>
      <c r="C1" s="164" t="s">
        <v>857</v>
      </c>
      <c r="D1" s="164" t="s">
        <v>857</v>
      </c>
      <c r="E1" s="165" t="s">
        <v>857</v>
      </c>
      <c r="F1" s="166" t="s">
        <v>858</v>
      </c>
    </row>
    <row r="2" spans="1:6" ht="12.75" customHeight="1" hidden="1">
      <c r="A2" s="169"/>
      <c r="B2" s="169"/>
      <c r="C2" s="169"/>
      <c r="D2" s="169"/>
      <c r="E2" s="170" t="s">
        <v>859</v>
      </c>
      <c r="F2" s="171"/>
    </row>
    <row r="3" spans="1:8" s="173" customFormat="1" ht="54.75" customHeight="1">
      <c r="A3" s="161" t="s">
        <v>546</v>
      </c>
      <c r="B3" s="161"/>
      <c r="C3" s="161"/>
      <c r="D3" s="161"/>
      <c r="E3" s="161"/>
      <c r="F3" s="161"/>
      <c r="G3" s="161"/>
      <c r="H3" s="172"/>
    </row>
    <row r="4" spans="1:8" s="173" customFormat="1" ht="16.5" customHeight="1">
      <c r="A4" s="174"/>
      <c r="B4" s="174"/>
      <c r="C4" s="174"/>
      <c r="D4" s="174"/>
      <c r="E4" s="174"/>
      <c r="F4" s="175"/>
      <c r="G4" s="172"/>
      <c r="H4" s="172"/>
    </row>
    <row r="5" spans="1:8" s="183" customFormat="1" ht="85.5" customHeight="1">
      <c r="A5" s="176" t="s">
        <v>860</v>
      </c>
      <c r="B5" s="177" t="s">
        <v>861</v>
      </c>
      <c r="C5" s="178" t="s">
        <v>862</v>
      </c>
      <c r="D5" s="177" t="s">
        <v>863</v>
      </c>
      <c r="E5" s="179" t="s">
        <v>864</v>
      </c>
      <c r="F5" s="180" t="s">
        <v>865</v>
      </c>
      <c r="G5" s="181" t="s">
        <v>866</v>
      </c>
      <c r="H5" s="182" t="s">
        <v>867</v>
      </c>
    </row>
    <row r="6" spans="1:8" s="183" customFormat="1" ht="12.75">
      <c r="A6" s="184" t="s">
        <v>579</v>
      </c>
      <c r="B6" s="184" t="s">
        <v>582</v>
      </c>
      <c r="C6" s="184" t="s">
        <v>585</v>
      </c>
      <c r="D6" s="184" t="s">
        <v>588</v>
      </c>
      <c r="E6" s="184" t="s">
        <v>591</v>
      </c>
      <c r="F6" s="184" t="s">
        <v>594</v>
      </c>
      <c r="G6" s="185">
        <v>7</v>
      </c>
      <c r="H6" s="186">
        <v>8</v>
      </c>
    </row>
    <row r="7" spans="1:10" s="183" customFormat="1" ht="23.25" customHeight="1">
      <c r="A7" s="187" t="s">
        <v>579</v>
      </c>
      <c r="B7" s="188" t="s">
        <v>868</v>
      </c>
      <c r="C7" s="188"/>
      <c r="D7" s="189"/>
      <c r="E7" s="190" t="s">
        <v>869</v>
      </c>
      <c r="F7" s="191">
        <f>F8+F12+F21+F32+F43+F47</f>
        <v>41412723</v>
      </c>
      <c r="G7" s="191">
        <f>G8+G12+G21+G32+G43+G47</f>
        <v>39661957.769999996</v>
      </c>
      <c r="H7" s="192">
        <f aca="true" t="shared" si="0" ref="H7:H70">G7/F7*100</f>
        <v>95.7723977000981</v>
      </c>
      <c r="J7" s="193"/>
    </row>
    <row r="8" spans="1:8" s="195" customFormat="1" ht="49.5" customHeight="1">
      <c r="A8" s="187" t="s">
        <v>582</v>
      </c>
      <c r="B8" s="188" t="s">
        <v>870</v>
      </c>
      <c r="C8" s="188"/>
      <c r="D8" s="189"/>
      <c r="E8" s="194" t="s">
        <v>871</v>
      </c>
      <c r="F8" s="191">
        <f aca="true" t="shared" si="1" ref="F8:G10">F9</f>
        <v>1183076</v>
      </c>
      <c r="G8" s="191">
        <f t="shared" si="1"/>
        <v>1182759.23</v>
      </c>
      <c r="H8" s="192">
        <f t="shared" si="0"/>
        <v>99.97322488157988</v>
      </c>
    </row>
    <row r="9" spans="1:8" s="195" customFormat="1" ht="21" customHeight="1">
      <c r="A9" s="187" t="s">
        <v>585</v>
      </c>
      <c r="B9" s="187" t="s">
        <v>870</v>
      </c>
      <c r="C9" s="187" t="s">
        <v>872</v>
      </c>
      <c r="D9" s="189"/>
      <c r="E9" s="170" t="s">
        <v>873</v>
      </c>
      <c r="F9" s="196">
        <f t="shared" si="1"/>
        <v>1183076</v>
      </c>
      <c r="G9" s="196">
        <f t="shared" si="1"/>
        <v>1182759.23</v>
      </c>
      <c r="H9" s="197">
        <f t="shared" si="0"/>
        <v>99.97322488157988</v>
      </c>
    </row>
    <row r="10" spans="1:8" s="199" customFormat="1" ht="21.75" customHeight="1">
      <c r="A10" s="187" t="s">
        <v>588</v>
      </c>
      <c r="B10" s="187" t="s">
        <v>870</v>
      </c>
      <c r="C10" s="187" t="s">
        <v>874</v>
      </c>
      <c r="D10" s="189"/>
      <c r="E10" s="170" t="s">
        <v>875</v>
      </c>
      <c r="F10" s="196">
        <f t="shared" si="1"/>
        <v>1183076</v>
      </c>
      <c r="G10" s="198">
        <f t="shared" si="1"/>
        <v>1182759.23</v>
      </c>
      <c r="H10" s="198">
        <f t="shared" si="0"/>
        <v>99.97322488157988</v>
      </c>
    </row>
    <row r="11" spans="1:8" s="195" customFormat="1" ht="31.5" customHeight="1">
      <c r="A11" s="187" t="s">
        <v>591</v>
      </c>
      <c r="B11" s="187" t="s">
        <v>870</v>
      </c>
      <c r="C11" s="187" t="s">
        <v>874</v>
      </c>
      <c r="D11" s="200" t="s">
        <v>876</v>
      </c>
      <c r="E11" s="170" t="s">
        <v>877</v>
      </c>
      <c r="F11" s="201">
        <f>1044446+8000+136000-13000+7630</f>
        <v>1183076</v>
      </c>
      <c r="G11" s="198">
        <v>1182759.23</v>
      </c>
      <c r="H11" s="198">
        <f t="shared" si="0"/>
        <v>99.97322488157988</v>
      </c>
    </row>
    <row r="12" spans="1:8" s="195" customFormat="1" ht="63.75" customHeight="1">
      <c r="A12" s="187" t="s">
        <v>594</v>
      </c>
      <c r="B12" s="188" t="s">
        <v>878</v>
      </c>
      <c r="C12" s="188"/>
      <c r="D12" s="189"/>
      <c r="E12" s="194" t="s">
        <v>879</v>
      </c>
      <c r="F12" s="191">
        <f>F13</f>
        <v>1355493</v>
      </c>
      <c r="G12" s="191">
        <f>G13</f>
        <v>1181020.9300000002</v>
      </c>
      <c r="H12" s="192">
        <f t="shared" si="0"/>
        <v>87.12851560281021</v>
      </c>
    </row>
    <row r="13" spans="1:8" s="195" customFormat="1" ht="18" customHeight="1">
      <c r="A13" s="187" t="s">
        <v>597</v>
      </c>
      <c r="B13" s="187" t="s">
        <v>878</v>
      </c>
      <c r="C13" s="187" t="s">
        <v>872</v>
      </c>
      <c r="D13" s="189"/>
      <c r="E13" s="170" t="s">
        <v>873</v>
      </c>
      <c r="F13" s="196">
        <f>F14+F19+F17</f>
        <v>1355493</v>
      </c>
      <c r="G13" s="196">
        <f>G14+G19+G17</f>
        <v>1181020.9300000002</v>
      </c>
      <c r="H13" s="197">
        <f t="shared" si="0"/>
        <v>87.12851560281021</v>
      </c>
    </row>
    <row r="14" spans="1:8" s="199" customFormat="1" ht="33.75" customHeight="1">
      <c r="A14" s="187" t="s">
        <v>600</v>
      </c>
      <c r="B14" s="187" t="s">
        <v>878</v>
      </c>
      <c r="C14" s="187" t="s">
        <v>880</v>
      </c>
      <c r="D14" s="202"/>
      <c r="E14" s="170" t="s">
        <v>881</v>
      </c>
      <c r="F14" s="196">
        <f>SUM(F15:F16)</f>
        <v>1340675</v>
      </c>
      <c r="G14" s="196">
        <f>SUM(G15:G16)</f>
        <v>1179282.59</v>
      </c>
      <c r="H14" s="203">
        <f t="shared" si="0"/>
        <v>87.9618542898167</v>
      </c>
    </row>
    <row r="15" spans="1:8" s="199" customFormat="1" ht="34.5" customHeight="1">
      <c r="A15" s="187" t="s">
        <v>603</v>
      </c>
      <c r="B15" s="187" t="s">
        <v>878</v>
      </c>
      <c r="C15" s="187" t="s">
        <v>880</v>
      </c>
      <c r="D15" s="202" t="s">
        <v>876</v>
      </c>
      <c r="E15" s="170" t="s">
        <v>877</v>
      </c>
      <c r="F15" s="201">
        <f>823844-36600-8700-7630</f>
        <v>770914</v>
      </c>
      <c r="G15" s="203">
        <v>762314</v>
      </c>
      <c r="H15" s="203">
        <f t="shared" si="0"/>
        <v>98.88444106605925</v>
      </c>
    </row>
    <row r="16" spans="1:8" ht="52.5" customHeight="1">
      <c r="A16" s="187" t="s">
        <v>606</v>
      </c>
      <c r="B16" s="187" t="s">
        <v>878</v>
      </c>
      <c r="C16" s="187" t="s">
        <v>880</v>
      </c>
      <c r="D16" s="202" t="s">
        <v>882</v>
      </c>
      <c r="E16" s="204" t="s">
        <v>883</v>
      </c>
      <c r="F16" s="201">
        <f>530579-818+40000</f>
        <v>569761</v>
      </c>
      <c r="G16" s="203">
        <v>416968.59</v>
      </c>
      <c r="H16" s="203">
        <f t="shared" si="0"/>
        <v>73.18306974327832</v>
      </c>
    </row>
    <row r="17" spans="1:8" ht="30" customHeight="1">
      <c r="A17" s="187" t="s">
        <v>609</v>
      </c>
      <c r="B17" s="187" t="s">
        <v>878</v>
      </c>
      <c r="C17" s="187" t="s">
        <v>884</v>
      </c>
      <c r="D17" s="202"/>
      <c r="E17" s="170" t="s">
        <v>885</v>
      </c>
      <c r="F17" s="201">
        <f>F18</f>
        <v>818</v>
      </c>
      <c r="G17" s="201">
        <f>G18</f>
        <v>817.34</v>
      </c>
      <c r="H17" s="203">
        <f t="shared" si="0"/>
        <v>99.91931540342298</v>
      </c>
    </row>
    <row r="18" spans="1:8" ht="53.25" customHeight="1">
      <c r="A18" s="187" t="s">
        <v>612</v>
      </c>
      <c r="B18" s="187" t="s">
        <v>878</v>
      </c>
      <c r="C18" s="187" t="s">
        <v>884</v>
      </c>
      <c r="D18" s="202" t="s">
        <v>882</v>
      </c>
      <c r="E18" s="204" t="s">
        <v>883</v>
      </c>
      <c r="F18" s="201">
        <v>818</v>
      </c>
      <c r="G18" s="203">
        <v>817.34</v>
      </c>
      <c r="H18" s="203">
        <f t="shared" si="0"/>
        <v>99.91931540342298</v>
      </c>
    </row>
    <row r="19" spans="1:8" ht="53.25" customHeight="1">
      <c r="A19" s="187" t="s">
        <v>614</v>
      </c>
      <c r="B19" s="187" t="s">
        <v>878</v>
      </c>
      <c r="C19" s="187" t="s">
        <v>886</v>
      </c>
      <c r="D19" s="200"/>
      <c r="E19" s="205" t="s">
        <v>887</v>
      </c>
      <c r="F19" s="201">
        <f>F20</f>
        <v>14000</v>
      </c>
      <c r="G19" s="201">
        <f>G20</f>
        <v>921</v>
      </c>
      <c r="H19" s="203">
        <f t="shared" si="0"/>
        <v>6.578571428571428</v>
      </c>
    </row>
    <row r="20" spans="1:8" ht="50.25" customHeight="1">
      <c r="A20" s="187" t="s">
        <v>616</v>
      </c>
      <c r="B20" s="187" t="s">
        <v>878</v>
      </c>
      <c r="C20" s="187" t="s">
        <v>886</v>
      </c>
      <c r="D20" s="202" t="s">
        <v>882</v>
      </c>
      <c r="E20" s="204" t="s">
        <v>883</v>
      </c>
      <c r="F20" s="201">
        <f>54000-40000</f>
        <v>14000</v>
      </c>
      <c r="G20" s="203">
        <v>921</v>
      </c>
      <c r="H20" s="203">
        <f t="shared" si="0"/>
        <v>6.578571428571428</v>
      </c>
    </row>
    <row r="21" spans="1:8" s="195" customFormat="1" ht="65.25" customHeight="1">
      <c r="A21" s="187" t="s">
        <v>619</v>
      </c>
      <c r="B21" s="188" t="s">
        <v>888</v>
      </c>
      <c r="C21" s="188"/>
      <c r="D21" s="189"/>
      <c r="E21" s="194"/>
      <c r="F21" s="191">
        <f>F22</f>
        <v>24644609</v>
      </c>
      <c r="G21" s="191">
        <f>G22</f>
        <v>24083673.689999998</v>
      </c>
      <c r="H21" s="192">
        <f t="shared" si="0"/>
        <v>97.72390257845032</v>
      </c>
    </row>
    <row r="22" spans="1:8" s="195" customFormat="1" ht="22.5" customHeight="1">
      <c r="A22" s="187" t="s">
        <v>622</v>
      </c>
      <c r="B22" s="187" t="s">
        <v>888</v>
      </c>
      <c r="C22" s="187" t="s">
        <v>872</v>
      </c>
      <c r="D22" s="189"/>
      <c r="E22" s="170" t="s">
        <v>873</v>
      </c>
      <c r="F22" s="196">
        <f>F23+F30+F28</f>
        <v>24644609</v>
      </c>
      <c r="G22" s="196">
        <f>G23+G30+G28</f>
        <v>24083673.689999998</v>
      </c>
      <c r="H22" s="203">
        <f t="shared" si="0"/>
        <v>97.72390257845032</v>
      </c>
    </row>
    <row r="23" spans="1:8" s="195" customFormat="1" ht="33" customHeight="1">
      <c r="A23" s="187" t="s">
        <v>625</v>
      </c>
      <c r="B23" s="187" t="s">
        <v>888</v>
      </c>
      <c r="C23" s="187" t="s">
        <v>880</v>
      </c>
      <c r="D23" s="202"/>
      <c r="E23" s="170" t="s">
        <v>881</v>
      </c>
      <c r="F23" s="196">
        <f>SUM(F24:F27)</f>
        <v>23437196</v>
      </c>
      <c r="G23" s="196">
        <f>SUM(G24:G27)</f>
        <v>22892985.74</v>
      </c>
      <c r="H23" s="203">
        <f t="shared" si="0"/>
        <v>97.67800610619119</v>
      </c>
    </row>
    <row r="24" spans="1:8" s="195" customFormat="1" ht="36" customHeight="1">
      <c r="A24" s="187" t="s">
        <v>628</v>
      </c>
      <c r="B24" s="187" t="s">
        <v>888</v>
      </c>
      <c r="C24" s="187" t="s">
        <v>880</v>
      </c>
      <c r="D24" s="202" t="s">
        <v>876</v>
      </c>
      <c r="E24" s="170" t="s">
        <v>877</v>
      </c>
      <c r="F24" s="201">
        <v>17281247</v>
      </c>
      <c r="G24" s="198">
        <v>17241092.81</v>
      </c>
      <c r="H24" s="203">
        <f t="shared" si="0"/>
        <v>99.76764298317129</v>
      </c>
    </row>
    <row r="25" spans="1:8" s="195" customFormat="1" ht="43.5" customHeight="1">
      <c r="A25" s="187" t="s">
        <v>631</v>
      </c>
      <c r="B25" s="187" t="s">
        <v>888</v>
      </c>
      <c r="C25" s="187" t="s">
        <v>880</v>
      </c>
      <c r="D25" s="202" t="s">
        <v>882</v>
      </c>
      <c r="E25" s="204" t="s">
        <v>883</v>
      </c>
      <c r="F25" s="201">
        <v>5886742</v>
      </c>
      <c r="G25" s="198">
        <v>5444152.71</v>
      </c>
      <c r="H25" s="203">
        <f t="shared" si="0"/>
        <v>92.48159185505327</v>
      </c>
    </row>
    <row r="26" spans="1:8" s="195" customFormat="1" ht="21" customHeight="1">
      <c r="A26" s="187" t="s">
        <v>634</v>
      </c>
      <c r="B26" s="187" t="s">
        <v>888</v>
      </c>
      <c r="C26" s="187" t="s">
        <v>880</v>
      </c>
      <c r="D26" s="202" t="s">
        <v>889</v>
      </c>
      <c r="E26" s="204" t="s">
        <v>890</v>
      </c>
      <c r="F26" s="201">
        <v>91253</v>
      </c>
      <c r="G26" s="198">
        <v>62971.22</v>
      </c>
      <c r="H26" s="203">
        <f t="shared" si="0"/>
        <v>69.00728743164608</v>
      </c>
    </row>
    <row r="27" spans="1:8" s="195" customFormat="1" ht="25.5" customHeight="1">
      <c r="A27" s="187" t="s">
        <v>637</v>
      </c>
      <c r="B27" s="187" t="s">
        <v>888</v>
      </c>
      <c r="C27" s="187" t="s">
        <v>880</v>
      </c>
      <c r="D27" s="202" t="s">
        <v>891</v>
      </c>
      <c r="E27" s="170" t="s">
        <v>892</v>
      </c>
      <c r="F27" s="201">
        <v>177954</v>
      </c>
      <c r="G27" s="198">
        <v>144769</v>
      </c>
      <c r="H27" s="203">
        <f t="shared" si="0"/>
        <v>81.35192240691414</v>
      </c>
    </row>
    <row r="28" spans="1:8" ht="30.75" customHeight="1">
      <c r="A28" s="187" t="s">
        <v>640</v>
      </c>
      <c r="B28" s="187" t="s">
        <v>888</v>
      </c>
      <c r="C28" s="187" t="s">
        <v>884</v>
      </c>
      <c r="D28" s="202"/>
      <c r="E28" s="204" t="s">
        <v>893</v>
      </c>
      <c r="F28" s="201">
        <f>F29</f>
        <v>179036</v>
      </c>
      <c r="G28" s="201">
        <f>G29</f>
        <v>178394.77</v>
      </c>
      <c r="H28" s="203">
        <f t="shared" si="0"/>
        <v>99.64184298129985</v>
      </c>
    </row>
    <row r="29" spans="1:8" ht="54" customHeight="1">
      <c r="A29" s="187" t="s">
        <v>643</v>
      </c>
      <c r="B29" s="187" t="s">
        <v>888</v>
      </c>
      <c r="C29" s="187" t="s">
        <v>884</v>
      </c>
      <c r="D29" s="202" t="s">
        <v>882</v>
      </c>
      <c r="E29" s="204" t="s">
        <v>883</v>
      </c>
      <c r="F29" s="201">
        <v>179036</v>
      </c>
      <c r="G29" s="198">
        <v>178394.77</v>
      </c>
      <c r="H29" s="203">
        <f t="shared" si="0"/>
        <v>99.64184298129985</v>
      </c>
    </row>
    <row r="30" spans="1:8" ht="50.25" customHeight="1">
      <c r="A30" s="187" t="s">
        <v>646</v>
      </c>
      <c r="B30" s="187" t="s">
        <v>888</v>
      </c>
      <c r="C30" s="187" t="s">
        <v>894</v>
      </c>
      <c r="D30" s="200"/>
      <c r="E30" s="205" t="s">
        <v>895</v>
      </c>
      <c r="F30" s="201">
        <f>F31</f>
        <v>1028377</v>
      </c>
      <c r="G30" s="201">
        <f>G31</f>
        <v>1012293.18</v>
      </c>
      <c r="H30" s="203">
        <f t="shared" si="0"/>
        <v>98.43599963826496</v>
      </c>
    </row>
    <row r="31" spans="1:8" ht="35.25" customHeight="1">
      <c r="A31" s="187" t="s">
        <v>649</v>
      </c>
      <c r="B31" s="187" t="s">
        <v>888</v>
      </c>
      <c r="C31" s="187" t="s">
        <v>894</v>
      </c>
      <c r="D31" s="202" t="s">
        <v>876</v>
      </c>
      <c r="E31" s="170" t="s">
        <v>877</v>
      </c>
      <c r="F31" s="201">
        <f>920777+89000+18600</f>
        <v>1028377</v>
      </c>
      <c r="G31" s="198">
        <v>1012293.18</v>
      </c>
      <c r="H31" s="203">
        <f t="shared" si="0"/>
        <v>98.43599963826496</v>
      </c>
    </row>
    <row r="32" spans="1:8" ht="54.75" customHeight="1">
      <c r="A32" s="187" t="s">
        <v>652</v>
      </c>
      <c r="B32" s="188" t="s">
        <v>896</v>
      </c>
      <c r="C32" s="188"/>
      <c r="D32" s="189"/>
      <c r="E32" s="194" t="s">
        <v>897</v>
      </c>
      <c r="F32" s="191">
        <f>F33+F38</f>
        <v>6031220</v>
      </c>
      <c r="G32" s="191">
        <f>G33+G38</f>
        <v>5687475.200000001</v>
      </c>
      <c r="H32" s="192">
        <f t="shared" si="0"/>
        <v>94.30057600286511</v>
      </c>
    </row>
    <row r="33" spans="1:8" ht="24.75" customHeight="1">
      <c r="A33" s="187" t="s">
        <v>655</v>
      </c>
      <c r="B33" s="187" t="s">
        <v>896</v>
      </c>
      <c r="C33" s="187" t="s">
        <v>872</v>
      </c>
      <c r="D33" s="202"/>
      <c r="E33" s="170" t="s">
        <v>873</v>
      </c>
      <c r="F33" s="196">
        <f>F34</f>
        <v>1441355</v>
      </c>
      <c r="G33" s="196">
        <f>G34</f>
        <v>1344616.98</v>
      </c>
      <c r="H33" s="203">
        <f t="shared" si="0"/>
        <v>93.28839737608014</v>
      </c>
    </row>
    <row r="34" spans="1:8" ht="34.5" customHeight="1">
      <c r="A34" s="187" t="s">
        <v>658</v>
      </c>
      <c r="B34" s="187" t="s">
        <v>896</v>
      </c>
      <c r="C34" s="187" t="s">
        <v>880</v>
      </c>
      <c r="D34" s="202"/>
      <c r="E34" s="170" t="s">
        <v>881</v>
      </c>
      <c r="F34" s="196">
        <f>SUM(F35:F37)</f>
        <v>1441355</v>
      </c>
      <c r="G34" s="196">
        <f>SUM(G35:G37)</f>
        <v>1344616.98</v>
      </c>
      <c r="H34" s="203">
        <f t="shared" si="0"/>
        <v>93.28839737608014</v>
      </c>
    </row>
    <row r="35" spans="1:8" ht="38.25" customHeight="1">
      <c r="A35" s="187" t="s">
        <v>661</v>
      </c>
      <c r="B35" s="187" t="s">
        <v>896</v>
      </c>
      <c r="C35" s="187" t="s">
        <v>880</v>
      </c>
      <c r="D35" s="202" t="s">
        <v>876</v>
      </c>
      <c r="E35" s="170" t="s">
        <v>877</v>
      </c>
      <c r="F35" s="196">
        <f>1256981+11080+37054</f>
        <v>1305115</v>
      </c>
      <c r="G35" s="198">
        <v>1300313.98</v>
      </c>
      <c r="H35" s="203">
        <f t="shared" si="0"/>
        <v>99.63213816406983</v>
      </c>
    </row>
    <row r="36" spans="1:8" ht="48.75" customHeight="1">
      <c r="A36" s="187" t="s">
        <v>664</v>
      </c>
      <c r="B36" s="187" t="s">
        <v>896</v>
      </c>
      <c r="C36" s="187" t="s">
        <v>880</v>
      </c>
      <c r="D36" s="202" t="s">
        <v>882</v>
      </c>
      <c r="E36" s="204" t="s">
        <v>883</v>
      </c>
      <c r="F36" s="196">
        <f>136240-3500</f>
        <v>132740</v>
      </c>
      <c r="G36" s="198">
        <v>41303</v>
      </c>
      <c r="H36" s="203">
        <f t="shared" si="0"/>
        <v>31.11571493144493</v>
      </c>
    </row>
    <row r="37" spans="1:8" ht="24.75" customHeight="1">
      <c r="A37" s="187" t="s">
        <v>667</v>
      </c>
      <c r="B37" s="187" t="s">
        <v>896</v>
      </c>
      <c r="C37" s="187" t="s">
        <v>880</v>
      </c>
      <c r="D37" s="202" t="s">
        <v>891</v>
      </c>
      <c r="E37" s="170" t="s">
        <v>892</v>
      </c>
      <c r="F37" s="196">
        <v>3500</v>
      </c>
      <c r="G37" s="198">
        <v>3000</v>
      </c>
      <c r="H37" s="203">
        <f t="shared" si="0"/>
        <v>85.71428571428571</v>
      </c>
    </row>
    <row r="38" spans="1:8" ht="70.5" customHeight="1">
      <c r="A38" s="187" t="s">
        <v>670</v>
      </c>
      <c r="B38" s="187" t="s">
        <v>896</v>
      </c>
      <c r="C38" s="187" t="s">
        <v>898</v>
      </c>
      <c r="D38" s="202"/>
      <c r="E38" s="170" t="s">
        <v>899</v>
      </c>
      <c r="F38" s="196">
        <f>F39</f>
        <v>4589865</v>
      </c>
      <c r="G38" s="196">
        <f>G39</f>
        <v>4342858.220000001</v>
      </c>
      <c r="H38" s="203">
        <f t="shared" si="0"/>
        <v>94.61843038956485</v>
      </c>
    </row>
    <row r="39" spans="1:8" ht="86.25" customHeight="1">
      <c r="A39" s="187" t="s">
        <v>673</v>
      </c>
      <c r="B39" s="187" t="s">
        <v>896</v>
      </c>
      <c r="C39" s="187" t="s">
        <v>900</v>
      </c>
      <c r="D39" s="202"/>
      <c r="E39" s="170" t="s">
        <v>901</v>
      </c>
      <c r="F39" s="196">
        <f>F40</f>
        <v>4589865</v>
      </c>
      <c r="G39" s="196">
        <f>G40</f>
        <v>4342858.220000001</v>
      </c>
      <c r="H39" s="203">
        <f t="shared" si="0"/>
        <v>94.61843038956485</v>
      </c>
    </row>
    <row r="40" spans="1:8" ht="35.25" customHeight="1">
      <c r="A40" s="187" t="s">
        <v>676</v>
      </c>
      <c r="B40" s="187" t="s">
        <v>896</v>
      </c>
      <c r="C40" s="187" t="s">
        <v>902</v>
      </c>
      <c r="D40" s="202"/>
      <c r="E40" s="170" t="s">
        <v>903</v>
      </c>
      <c r="F40" s="196">
        <f>SUM(F41:F42)</f>
        <v>4589865</v>
      </c>
      <c r="G40" s="196">
        <f>SUM(G41:G42)</f>
        <v>4342858.220000001</v>
      </c>
      <c r="H40" s="203">
        <f t="shared" si="0"/>
        <v>94.61843038956485</v>
      </c>
    </row>
    <row r="41" spans="1:8" ht="45" customHeight="1">
      <c r="A41" s="187" t="s">
        <v>679</v>
      </c>
      <c r="B41" s="187" t="s">
        <v>896</v>
      </c>
      <c r="C41" s="187" t="s">
        <v>902</v>
      </c>
      <c r="D41" s="202" t="s">
        <v>876</v>
      </c>
      <c r="E41" s="170" t="s">
        <v>877</v>
      </c>
      <c r="F41" s="196">
        <v>3337946</v>
      </c>
      <c r="G41" s="198">
        <v>3105808.99</v>
      </c>
      <c r="H41" s="203">
        <f t="shared" si="0"/>
        <v>93.04551331866963</v>
      </c>
    </row>
    <row r="42" spans="1:8" ht="62.25" customHeight="1">
      <c r="A42" s="187" t="s">
        <v>682</v>
      </c>
      <c r="B42" s="187" t="s">
        <v>896</v>
      </c>
      <c r="C42" s="187" t="s">
        <v>902</v>
      </c>
      <c r="D42" s="202" t="s">
        <v>882</v>
      </c>
      <c r="E42" s="204" t="s">
        <v>883</v>
      </c>
      <c r="F42" s="196">
        <v>1251919</v>
      </c>
      <c r="G42" s="198">
        <v>1237049.23</v>
      </c>
      <c r="H42" s="203">
        <f t="shared" si="0"/>
        <v>98.81224184631753</v>
      </c>
    </row>
    <row r="43" spans="1:8" ht="23.25" customHeight="1">
      <c r="A43" s="187" t="s">
        <v>684</v>
      </c>
      <c r="B43" s="188" t="s">
        <v>904</v>
      </c>
      <c r="C43" s="188"/>
      <c r="D43" s="189"/>
      <c r="E43" s="194" t="s">
        <v>905</v>
      </c>
      <c r="F43" s="191">
        <f aca="true" t="shared" si="2" ref="F43:G45">F44</f>
        <v>100000</v>
      </c>
      <c r="G43" s="191">
        <f t="shared" si="2"/>
        <v>0</v>
      </c>
      <c r="H43" s="206">
        <f t="shared" si="0"/>
        <v>0</v>
      </c>
    </row>
    <row r="44" spans="1:8" ht="21" customHeight="1">
      <c r="A44" s="187" t="s">
        <v>687</v>
      </c>
      <c r="B44" s="187" t="s">
        <v>904</v>
      </c>
      <c r="C44" s="187" t="s">
        <v>872</v>
      </c>
      <c r="D44" s="189"/>
      <c r="E44" s="170" t="s">
        <v>873</v>
      </c>
      <c r="F44" s="196">
        <f t="shared" si="2"/>
        <v>100000</v>
      </c>
      <c r="G44" s="196">
        <f t="shared" si="2"/>
        <v>0</v>
      </c>
      <c r="H44" s="203">
        <f t="shared" si="0"/>
        <v>0</v>
      </c>
    </row>
    <row r="45" spans="1:8" ht="36.75" customHeight="1">
      <c r="A45" s="187" t="s">
        <v>690</v>
      </c>
      <c r="B45" s="187" t="s">
        <v>904</v>
      </c>
      <c r="C45" s="187" t="s">
        <v>906</v>
      </c>
      <c r="D45" s="200"/>
      <c r="E45" s="170" t="s">
        <v>907</v>
      </c>
      <c r="F45" s="196">
        <f t="shared" si="2"/>
        <v>100000</v>
      </c>
      <c r="G45" s="196">
        <f t="shared" si="2"/>
        <v>0</v>
      </c>
      <c r="H45" s="203">
        <f t="shared" si="0"/>
        <v>0</v>
      </c>
    </row>
    <row r="46" spans="1:8" ht="23.25" customHeight="1">
      <c r="A46" s="187" t="s">
        <v>693</v>
      </c>
      <c r="B46" s="187" t="s">
        <v>904</v>
      </c>
      <c r="C46" s="187" t="s">
        <v>906</v>
      </c>
      <c r="D46" s="200" t="s">
        <v>908</v>
      </c>
      <c r="E46" s="170" t="s">
        <v>909</v>
      </c>
      <c r="F46" s="196">
        <v>100000</v>
      </c>
      <c r="G46" s="198">
        <v>0</v>
      </c>
      <c r="H46" s="203">
        <f t="shared" si="0"/>
        <v>0</v>
      </c>
    </row>
    <row r="47" spans="1:8" ht="25.5" customHeight="1">
      <c r="A47" s="187" t="s">
        <v>696</v>
      </c>
      <c r="B47" s="188" t="s">
        <v>910</v>
      </c>
      <c r="C47" s="188"/>
      <c r="D47" s="189"/>
      <c r="E47" s="194" t="s">
        <v>911</v>
      </c>
      <c r="F47" s="191">
        <f>F48+F58</f>
        <v>8098325</v>
      </c>
      <c r="G47" s="191">
        <f>G48+G58</f>
        <v>7527028.72</v>
      </c>
      <c r="H47" s="206">
        <f t="shared" si="0"/>
        <v>92.94550070539277</v>
      </c>
    </row>
    <row r="48" spans="1:8" ht="63">
      <c r="A48" s="187" t="s">
        <v>699</v>
      </c>
      <c r="B48" s="187" t="s">
        <v>910</v>
      </c>
      <c r="C48" s="187" t="s">
        <v>912</v>
      </c>
      <c r="D48" s="200"/>
      <c r="E48" s="170" t="s">
        <v>913</v>
      </c>
      <c r="F48" s="196">
        <f>F49</f>
        <v>463000</v>
      </c>
      <c r="G48" s="196">
        <f>G49</f>
        <v>145355.36</v>
      </c>
      <c r="H48" s="203">
        <f t="shared" si="0"/>
        <v>31.394246220302374</v>
      </c>
    </row>
    <row r="49" spans="1:8" ht="65.25" customHeight="1">
      <c r="A49" s="187" t="s">
        <v>702</v>
      </c>
      <c r="B49" s="187" t="s">
        <v>910</v>
      </c>
      <c r="C49" s="187" t="s">
        <v>914</v>
      </c>
      <c r="D49" s="200"/>
      <c r="E49" s="170" t="s">
        <v>915</v>
      </c>
      <c r="F49" s="201">
        <f>F50+F52+F54+F56</f>
        <v>463000</v>
      </c>
      <c r="G49" s="201">
        <f>G50+G52+G54+G56</f>
        <v>145355.36</v>
      </c>
      <c r="H49" s="203">
        <f t="shared" si="0"/>
        <v>31.394246220302374</v>
      </c>
    </row>
    <row r="50" spans="1:8" ht="66.75" customHeight="1">
      <c r="A50" s="187" t="s">
        <v>705</v>
      </c>
      <c r="B50" s="187" t="s">
        <v>910</v>
      </c>
      <c r="C50" s="187" t="s">
        <v>916</v>
      </c>
      <c r="D50" s="200"/>
      <c r="E50" s="170" t="s">
        <v>917</v>
      </c>
      <c r="F50" s="201">
        <f>F51</f>
        <v>100000</v>
      </c>
      <c r="G50" s="201">
        <f>G51</f>
        <v>7401.2</v>
      </c>
      <c r="H50" s="203">
        <f t="shared" si="0"/>
        <v>7.401199999999999</v>
      </c>
    </row>
    <row r="51" spans="1:8" ht="51" customHeight="1">
      <c r="A51" s="187" t="s">
        <v>708</v>
      </c>
      <c r="B51" s="187" t="s">
        <v>910</v>
      </c>
      <c r="C51" s="187" t="s">
        <v>916</v>
      </c>
      <c r="D51" s="200" t="s">
        <v>882</v>
      </c>
      <c r="E51" s="204" t="s">
        <v>883</v>
      </c>
      <c r="F51" s="201">
        <v>100000</v>
      </c>
      <c r="G51" s="198">
        <v>7401.2</v>
      </c>
      <c r="H51" s="203">
        <f t="shared" si="0"/>
        <v>7.401199999999999</v>
      </c>
    </row>
    <row r="52" spans="1:8" ht="33" customHeight="1">
      <c r="A52" s="187" t="s">
        <v>711</v>
      </c>
      <c r="B52" s="187" t="s">
        <v>910</v>
      </c>
      <c r="C52" s="187" t="s">
        <v>918</v>
      </c>
      <c r="D52" s="200"/>
      <c r="E52" s="170" t="s">
        <v>919</v>
      </c>
      <c r="F52" s="201">
        <f>F53</f>
        <v>72000</v>
      </c>
      <c r="G52" s="201">
        <f>G53</f>
        <v>33000</v>
      </c>
      <c r="H52" s="203">
        <f t="shared" si="0"/>
        <v>45.83333333333333</v>
      </c>
    </row>
    <row r="53" spans="1:8" ht="33.75" customHeight="1">
      <c r="A53" s="187" t="s">
        <v>714</v>
      </c>
      <c r="B53" s="187" t="s">
        <v>910</v>
      </c>
      <c r="C53" s="187" t="s">
        <v>918</v>
      </c>
      <c r="D53" s="200" t="s">
        <v>882</v>
      </c>
      <c r="E53" s="204" t="s">
        <v>920</v>
      </c>
      <c r="F53" s="201">
        <f>100000-28000</f>
        <v>72000</v>
      </c>
      <c r="G53" s="198">
        <v>33000</v>
      </c>
      <c r="H53" s="203">
        <f t="shared" si="0"/>
        <v>45.83333333333333</v>
      </c>
    </row>
    <row r="54" spans="1:8" ht="20.25" customHeight="1">
      <c r="A54" s="187" t="s">
        <v>717</v>
      </c>
      <c r="B54" s="187" t="s">
        <v>910</v>
      </c>
      <c r="C54" s="187" t="s">
        <v>921</v>
      </c>
      <c r="D54" s="200"/>
      <c r="E54" s="170" t="s">
        <v>922</v>
      </c>
      <c r="F54" s="201">
        <f>F55</f>
        <v>257566</v>
      </c>
      <c r="G54" s="201">
        <f>G55</f>
        <v>71520.61</v>
      </c>
      <c r="H54" s="203">
        <f t="shared" si="0"/>
        <v>27.767876971339383</v>
      </c>
    </row>
    <row r="55" spans="1:8" ht="55.5" customHeight="1">
      <c r="A55" s="187" t="s">
        <v>719</v>
      </c>
      <c r="B55" s="187" t="s">
        <v>910</v>
      </c>
      <c r="C55" s="187" t="s">
        <v>921</v>
      </c>
      <c r="D55" s="200" t="s">
        <v>882</v>
      </c>
      <c r="E55" s="204" t="s">
        <v>883</v>
      </c>
      <c r="F55" s="201">
        <f>463000-5434-100000-100000</f>
        <v>257566</v>
      </c>
      <c r="G55" s="198">
        <v>71520.61</v>
      </c>
      <c r="H55" s="203">
        <f t="shared" si="0"/>
        <v>27.767876971339383</v>
      </c>
    </row>
    <row r="56" spans="1:8" ht="32.25" customHeight="1">
      <c r="A56" s="187" t="s">
        <v>721</v>
      </c>
      <c r="B56" s="187" t="s">
        <v>910</v>
      </c>
      <c r="C56" s="187" t="s">
        <v>923</v>
      </c>
      <c r="D56" s="200"/>
      <c r="E56" s="204" t="s">
        <v>893</v>
      </c>
      <c r="F56" s="201">
        <f>F57</f>
        <v>33434</v>
      </c>
      <c r="G56" s="201">
        <f>G57</f>
        <v>33433.55</v>
      </c>
      <c r="H56" s="203">
        <f t="shared" si="0"/>
        <v>99.99865406472455</v>
      </c>
    </row>
    <row r="57" spans="1:8" ht="58.5" customHeight="1">
      <c r="A57" s="187" t="s">
        <v>723</v>
      </c>
      <c r="B57" s="187" t="s">
        <v>910</v>
      </c>
      <c r="C57" s="187" t="s">
        <v>923</v>
      </c>
      <c r="D57" s="200" t="s">
        <v>882</v>
      </c>
      <c r="E57" s="204" t="s">
        <v>883</v>
      </c>
      <c r="F57" s="201">
        <f>5434+28000</f>
        <v>33434</v>
      </c>
      <c r="G57" s="201">
        <v>33433.55</v>
      </c>
      <c r="H57" s="203">
        <f t="shared" si="0"/>
        <v>99.99865406472455</v>
      </c>
    </row>
    <row r="58" spans="1:9" ht="32.25" customHeight="1">
      <c r="A58" s="187" t="s">
        <v>725</v>
      </c>
      <c r="B58" s="187" t="s">
        <v>910</v>
      </c>
      <c r="C58" s="187" t="s">
        <v>924</v>
      </c>
      <c r="D58" s="200"/>
      <c r="E58" s="170" t="s">
        <v>925</v>
      </c>
      <c r="F58" s="196">
        <f>F59+F62+F68+F71</f>
        <v>7635325</v>
      </c>
      <c r="G58" s="196">
        <f>G59+G62+G68+G71</f>
        <v>7381673.359999999</v>
      </c>
      <c r="H58" s="203">
        <f t="shared" si="0"/>
        <v>96.67791953846103</v>
      </c>
      <c r="I58" s="207"/>
    </row>
    <row r="59" spans="1:8" ht="34.5" customHeight="1">
      <c r="A59" s="187" t="s">
        <v>727</v>
      </c>
      <c r="B59" s="187" t="s">
        <v>910</v>
      </c>
      <c r="C59" s="187" t="s">
        <v>926</v>
      </c>
      <c r="D59" s="200"/>
      <c r="E59" s="170" t="s">
        <v>927</v>
      </c>
      <c r="F59" s="201">
        <f>F60</f>
        <v>50000</v>
      </c>
      <c r="G59" s="201">
        <f>G60</f>
        <v>50000</v>
      </c>
      <c r="H59" s="203">
        <f t="shared" si="0"/>
        <v>100</v>
      </c>
    </row>
    <row r="60" spans="1:8" ht="38.25" customHeight="1">
      <c r="A60" s="187" t="s">
        <v>730</v>
      </c>
      <c r="B60" s="187" t="s">
        <v>910</v>
      </c>
      <c r="C60" s="187" t="s">
        <v>928</v>
      </c>
      <c r="D60" s="189"/>
      <c r="E60" s="170" t="s">
        <v>929</v>
      </c>
      <c r="F60" s="196">
        <f>F61</f>
        <v>50000</v>
      </c>
      <c r="G60" s="196">
        <f>G61</f>
        <v>50000</v>
      </c>
      <c r="H60" s="203">
        <f t="shared" si="0"/>
        <v>100</v>
      </c>
    </row>
    <row r="61" spans="1:8" ht="26.25" customHeight="1">
      <c r="A61" s="187" t="s">
        <v>733</v>
      </c>
      <c r="B61" s="187" t="s">
        <v>910</v>
      </c>
      <c r="C61" s="187" t="s">
        <v>928</v>
      </c>
      <c r="D61" s="200" t="s">
        <v>891</v>
      </c>
      <c r="E61" s="170" t="s">
        <v>892</v>
      </c>
      <c r="F61" s="201">
        <v>50000</v>
      </c>
      <c r="G61" s="198">
        <v>50000</v>
      </c>
      <c r="H61" s="203">
        <f t="shared" si="0"/>
        <v>100</v>
      </c>
    </row>
    <row r="62" spans="1:8" ht="36.75" customHeight="1">
      <c r="A62" s="187" t="s">
        <v>735</v>
      </c>
      <c r="B62" s="187" t="s">
        <v>910</v>
      </c>
      <c r="C62" s="187" t="s">
        <v>930</v>
      </c>
      <c r="D62" s="200"/>
      <c r="E62" s="170" t="s">
        <v>931</v>
      </c>
      <c r="F62" s="201">
        <f>F63+F65</f>
        <v>92000</v>
      </c>
      <c r="G62" s="201">
        <f>G63+G65</f>
        <v>92000</v>
      </c>
      <c r="H62" s="203">
        <f t="shared" si="0"/>
        <v>100</v>
      </c>
    </row>
    <row r="63" spans="1:8" ht="87" customHeight="1">
      <c r="A63" s="187" t="s">
        <v>738</v>
      </c>
      <c r="B63" s="187" t="s">
        <v>910</v>
      </c>
      <c r="C63" s="187" t="s">
        <v>932</v>
      </c>
      <c r="D63" s="200"/>
      <c r="E63" s="170" t="s">
        <v>933</v>
      </c>
      <c r="F63" s="201">
        <f>F64</f>
        <v>100</v>
      </c>
      <c r="G63" s="201">
        <f>G64</f>
        <v>100</v>
      </c>
      <c r="H63" s="203">
        <f t="shared" si="0"/>
        <v>100</v>
      </c>
    </row>
    <row r="64" spans="1:8" ht="36.75" customHeight="1">
      <c r="A64" s="187" t="s">
        <v>740</v>
      </c>
      <c r="B64" s="187" t="s">
        <v>910</v>
      </c>
      <c r="C64" s="187" t="s">
        <v>932</v>
      </c>
      <c r="D64" s="200" t="s">
        <v>882</v>
      </c>
      <c r="E64" s="204" t="s">
        <v>920</v>
      </c>
      <c r="F64" s="201">
        <v>100</v>
      </c>
      <c r="G64" s="198">
        <v>100</v>
      </c>
      <c r="H64" s="203">
        <f t="shared" si="0"/>
        <v>100</v>
      </c>
    </row>
    <row r="65" spans="1:8" ht="55.5" customHeight="1">
      <c r="A65" s="187" t="s">
        <v>743</v>
      </c>
      <c r="B65" s="187" t="s">
        <v>910</v>
      </c>
      <c r="C65" s="187" t="s">
        <v>934</v>
      </c>
      <c r="D65" s="200"/>
      <c r="E65" s="208" t="s">
        <v>935</v>
      </c>
      <c r="F65" s="196">
        <f>SUM(F66:F67)</f>
        <v>91900</v>
      </c>
      <c r="G65" s="196">
        <f>SUM(G66:G67)</f>
        <v>91900</v>
      </c>
      <c r="H65" s="203">
        <f t="shared" si="0"/>
        <v>100</v>
      </c>
    </row>
    <row r="66" spans="1:8" ht="36.75" customHeight="1">
      <c r="A66" s="187" t="s">
        <v>746</v>
      </c>
      <c r="B66" s="187" t="s">
        <v>910</v>
      </c>
      <c r="C66" s="187" t="s">
        <v>934</v>
      </c>
      <c r="D66" s="200" t="s">
        <v>876</v>
      </c>
      <c r="E66" s="170" t="s">
        <v>877</v>
      </c>
      <c r="F66" s="196">
        <v>83530</v>
      </c>
      <c r="G66" s="198">
        <v>83530</v>
      </c>
      <c r="H66" s="203">
        <f t="shared" si="0"/>
        <v>100</v>
      </c>
    </row>
    <row r="67" spans="1:8" ht="50.25" customHeight="1">
      <c r="A67" s="187" t="s">
        <v>749</v>
      </c>
      <c r="B67" s="187" t="s">
        <v>910</v>
      </c>
      <c r="C67" s="187" t="s">
        <v>934</v>
      </c>
      <c r="D67" s="200" t="s">
        <v>882</v>
      </c>
      <c r="E67" s="204" t="s">
        <v>883</v>
      </c>
      <c r="F67" s="201">
        <v>8370</v>
      </c>
      <c r="G67" s="198">
        <v>8370</v>
      </c>
      <c r="H67" s="203">
        <f t="shared" si="0"/>
        <v>100</v>
      </c>
    </row>
    <row r="68" spans="1:8" ht="36" customHeight="1">
      <c r="A68" s="187" t="s">
        <v>752</v>
      </c>
      <c r="B68" s="187" t="s">
        <v>910</v>
      </c>
      <c r="C68" s="187" t="s">
        <v>936</v>
      </c>
      <c r="D68" s="200"/>
      <c r="E68" s="170" t="s">
        <v>937</v>
      </c>
      <c r="F68" s="196">
        <f>F69</f>
        <v>3906386</v>
      </c>
      <c r="G68" s="196">
        <f>G69</f>
        <v>3906385.03</v>
      </c>
      <c r="H68" s="203">
        <f t="shared" si="0"/>
        <v>99.99997516886452</v>
      </c>
    </row>
    <row r="69" spans="1:8" ht="35.25" customHeight="1">
      <c r="A69" s="187" t="s">
        <v>754</v>
      </c>
      <c r="B69" s="187" t="s">
        <v>910</v>
      </c>
      <c r="C69" s="187" t="s">
        <v>938</v>
      </c>
      <c r="D69" s="209"/>
      <c r="E69" s="170" t="s">
        <v>939</v>
      </c>
      <c r="F69" s="196">
        <f>F70</f>
        <v>3906386</v>
      </c>
      <c r="G69" s="196">
        <f>G70</f>
        <v>3906385.03</v>
      </c>
      <c r="H69" s="203">
        <f t="shared" si="0"/>
        <v>99.99997516886452</v>
      </c>
    </row>
    <row r="70" spans="1:8" ht="40.5" customHeight="1">
      <c r="A70" s="187" t="s">
        <v>756</v>
      </c>
      <c r="B70" s="187" t="s">
        <v>910</v>
      </c>
      <c r="C70" s="187" t="s">
        <v>938</v>
      </c>
      <c r="D70" s="200" t="s">
        <v>940</v>
      </c>
      <c r="E70" s="204" t="s">
        <v>941</v>
      </c>
      <c r="F70" s="201">
        <f>3474526+431860</f>
        <v>3906386</v>
      </c>
      <c r="G70" s="198">
        <v>3906385.03</v>
      </c>
      <c r="H70" s="203">
        <f t="shared" si="0"/>
        <v>99.99997516886452</v>
      </c>
    </row>
    <row r="71" spans="1:8" ht="36.75" customHeight="1">
      <c r="A71" s="187" t="s">
        <v>759</v>
      </c>
      <c r="B71" s="187" t="s">
        <v>910</v>
      </c>
      <c r="C71" s="187" t="s">
        <v>942</v>
      </c>
      <c r="D71" s="200"/>
      <c r="E71" s="170" t="s">
        <v>943</v>
      </c>
      <c r="F71" s="196">
        <f>F72+F76+F80+F78</f>
        <v>3586939</v>
      </c>
      <c r="G71" s="196">
        <f>G72+G76+G80+G78</f>
        <v>3333288.33</v>
      </c>
      <c r="H71" s="203">
        <f aca="true" t="shared" si="3" ref="H71:H134">G71/F71*100</f>
        <v>92.92849223251358</v>
      </c>
    </row>
    <row r="72" spans="1:8" ht="41.25" customHeight="1">
      <c r="A72" s="187" t="s">
        <v>762</v>
      </c>
      <c r="B72" s="187" t="s">
        <v>910</v>
      </c>
      <c r="C72" s="187" t="s">
        <v>944</v>
      </c>
      <c r="D72" s="200"/>
      <c r="E72" s="170" t="s">
        <v>945</v>
      </c>
      <c r="F72" s="201">
        <f>F73+F74+F75</f>
        <v>1008968</v>
      </c>
      <c r="G72" s="201">
        <f>G73+G74+G75</f>
        <v>956599.02</v>
      </c>
      <c r="H72" s="203">
        <f t="shared" si="3"/>
        <v>94.80964906716565</v>
      </c>
    </row>
    <row r="73" spans="1:8" s="195" customFormat="1" ht="31.5">
      <c r="A73" s="187" t="s">
        <v>765</v>
      </c>
      <c r="B73" s="187" t="s">
        <v>910</v>
      </c>
      <c r="C73" s="187" t="s">
        <v>944</v>
      </c>
      <c r="D73" s="200" t="s">
        <v>946</v>
      </c>
      <c r="E73" s="170" t="s">
        <v>947</v>
      </c>
      <c r="F73" s="201">
        <v>736577</v>
      </c>
      <c r="G73" s="198">
        <v>733260.56</v>
      </c>
      <c r="H73" s="203">
        <f t="shared" si="3"/>
        <v>99.54974972066736</v>
      </c>
    </row>
    <row r="74" spans="1:8" ht="54" customHeight="1">
      <c r="A74" s="187" t="s">
        <v>768</v>
      </c>
      <c r="B74" s="187" t="s">
        <v>910</v>
      </c>
      <c r="C74" s="187" t="s">
        <v>944</v>
      </c>
      <c r="D74" s="200" t="s">
        <v>882</v>
      </c>
      <c r="E74" s="204" t="s">
        <v>883</v>
      </c>
      <c r="F74" s="201">
        <v>272188</v>
      </c>
      <c r="G74" s="198">
        <v>223235.46</v>
      </c>
      <c r="H74" s="203">
        <f t="shared" si="3"/>
        <v>82.01517333607653</v>
      </c>
    </row>
    <row r="75" spans="1:8" ht="24" customHeight="1">
      <c r="A75" s="187" t="s">
        <v>771</v>
      </c>
      <c r="B75" s="187" t="s">
        <v>910</v>
      </c>
      <c r="C75" s="187" t="s">
        <v>944</v>
      </c>
      <c r="D75" s="200" t="s">
        <v>891</v>
      </c>
      <c r="E75" s="170" t="s">
        <v>892</v>
      </c>
      <c r="F75" s="201">
        <v>203</v>
      </c>
      <c r="G75" s="198">
        <v>103</v>
      </c>
      <c r="H75" s="203">
        <f t="shared" si="3"/>
        <v>50.73891625615764</v>
      </c>
    </row>
    <row r="76" spans="1:8" s="195" customFormat="1" ht="39" customHeight="1">
      <c r="A76" s="187" t="s">
        <v>774</v>
      </c>
      <c r="B76" s="187" t="s">
        <v>910</v>
      </c>
      <c r="C76" s="187" t="s">
        <v>948</v>
      </c>
      <c r="D76" s="200"/>
      <c r="E76" s="210" t="s">
        <v>949</v>
      </c>
      <c r="F76" s="201">
        <f>SUM(F77:F77)</f>
        <v>2341499</v>
      </c>
      <c r="G76" s="211">
        <f>SUM(G77:G77)</f>
        <v>2140398.08</v>
      </c>
      <c r="H76" s="203">
        <f t="shared" si="3"/>
        <v>91.41144540313705</v>
      </c>
    </row>
    <row r="77" spans="1:8" ht="31.5" customHeight="1">
      <c r="A77" s="187" t="s">
        <v>776</v>
      </c>
      <c r="B77" s="187" t="s">
        <v>910</v>
      </c>
      <c r="C77" s="187" t="s">
        <v>948</v>
      </c>
      <c r="D77" s="200" t="s">
        <v>950</v>
      </c>
      <c r="E77" s="170" t="s">
        <v>951</v>
      </c>
      <c r="F77" s="201">
        <f>2241499+100000</f>
        <v>2341499</v>
      </c>
      <c r="G77" s="198">
        <v>2140398.08</v>
      </c>
      <c r="H77" s="203">
        <f t="shared" si="3"/>
        <v>91.41144540313705</v>
      </c>
    </row>
    <row r="78" spans="1:8" ht="31.5" customHeight="1">
      <c r="A78" s="187" t="s">
        <v>778</v>
      </c>
      <c r="B78" s="187" t="s">
        <v>910</v>
      </c>
      <c r="C78" s="187" t="s">
        <v>952</v>
      </c>
      <c r="D78" s="200"/>
      <c r="E78" s="204" t="s">
        <v>893</v>
      </c>
      <c r="F78" s="201">
        <f>F79</f>
        <v>472</v>
      </c>
      <c r="G78" s="201">
        <f>G79</f>
        <v>291.23</v>
      </c>
      <c r="H78" s="203">
        <f t="shared" si="3"/>
        <v>61.701271186440685</v>
      </c>
    </row>
    <row r="79" spans="1:8" ht="48.75" customHeight="1">
      <c r="A79" s="187" t="s">
        <v>781</v>
      </c>
      <c r="B79" s="187" t="s">
        <v>910</v>
      </c>
      <c r="C79" s="187" t="s">
        <v>952</v>
      </c>
      <c r="D79" s="200" t="s">
        <v>882</v>
      </c>
      <c r="E79" s="204" t="s">
        <v>883</v>
      </c>
      <c r="F79" s="201">
        <v>472</v>
      </c>
      <c r="G79" s="203">
        <v>291.23</v>
      </c>
      <c r="H79" s="203">
        <f t="shared" si="3"/>
        <v>61.701271186440685</v>
      </c>
    </row>
    <row r="80" spans="1:8" ht="86.25" customHeight="1">
      <c r="A80" s="187" t="s">
        <v>784</v>
      </c>
      <c r="B80" s="187" t="s">
        <v>910</v>
      </c>
      <c r="C80" s="187" t="s">
        <v>953</v>
      </c>
      <c r="D80" s="200"/>
      <c r="E80" s="170" t="s">
        <v>954</v>
      </c>
      <c r="F80" s="196">
        <f>SUM(F81:F81)</f>
        <v>236000</v>
      </c>
      <c r="G80" s="196">
        <f>SUM(G81:G81)</f>
        <v>236000</v>
      </c>
      <c r="H80" s="203">
        <f t="shared" si="3"/>
        <v>100</v>
      </c>
    </row>
    <row r="81" spans="1:8" ht="47.25" customHeight="1">
      <c r="A81" s="187" t="s">
        <v>787</v>
      </c>
      <c r="B81" s="187" t="s">
        <v>910</v>
      </c>
      <c r="C81" s="187" t="s">
        <v>953</v>
      </c>
      <c r="D81" s="200" t="s">
        <v>882</v>
      </c>
      <c r="E81" s="204" t="s">
        <v>883</v>
      </c>
      <c r="F81" s="196">
        <v>236000</v>
      </c>
      <c r="G81" s="196">
        <v>236000</v>
      </c>
      <c r="H81" s="203">
        <f t="shared" si="3"/>
        <v>100</v>
      </c>
    </row>
    <row r="82" spans="1:8" ht="21" customHeight="1">
      <c r="A82" s="187" t="s">
        <v>790</v>
      </c>
      <c r="B82" s="188" t="s">
        <v>955</v>
      </c>
      <c r="C82" s="188"/>
      <c r="D82" s="189"/>
      <c r="E82" s="194" t="s">
        <v>956</v>
      </c>
      <c r="F82" s="191">
        <f aca="true" t="shared" si="4" ref="F82:G84">F83</f>
        <v>869700</v>
      </c>
      <c r="G82" s="191">
        <f t="shared" si="4"/>
        <v>869670</v>
      </c>
      <c r="H82" s="206">
        <f t="shared" si="3"/>
        <v>99.99655053466712</v>
      </c>
    </row>
    <row r="83" spans="1:8" ht="24" customHeight="1">
      <c r="A83" s="187" t="s">
        <v>793</v>
      </c>
      <c r="B83" s="188" t="s">
        <v>957</v>
      </c>
      <c r="C83" s="188"/>
      <c r="D83" s="189"/>
      <c r="E83" s="194" t="s">
        <v>958</v>
      </c>
      <c r="F83" s="191">
        <f t="shared" si="4"/>
        <v>869700</v>
      </c>
      <c r="G83" s="191">
        <f t="shared" si="4"/>
        <v>869670</v>
      </c>
      <c r="H83" s="206">
        <f t="shared" si="3"/>
        <v>99.99655053466712</v>
      </c>
    </row>
    <row r="84" spans="1:8" ht="15.75">
      <c r="A84" s="187" t="s">
        <v>796</v>
      </c>
      <c r="B84" s="187" t="s">
        <v>957</v>
      </c>
      <c r="C84" s="187" t="s">
        <v>872</v>
      </c>
      <c r="D84" s="200"/>
      <c r="E84" s="170" t="s">
        <v>873</v>
      </c>
      <c r="F84" s="196">
        <f t="shared" si="4"/>
        <v>869700</v>
      </c>
      <c r="G84" s="196">
        <f t="shared" si="4"/>
        <v>869670</v>
      </c>
      <c r="H84" s="203">
        <f t="shared" si="3"/>
        <v>99.99655053466712</v>
      </c>
    </row>
    <row r="85" spans="1:8" s="195" customFormat="1" ht="42" customHeight="1">
      <c r="A85" s="187" t="s">
        <v>799</v>
      </c>
      <c r="B85" s="187" t="s">
        <v>957</v>
      </c>
      <c r="C85" s="187" t="s">
        <v>959</v>
      </c>
      <c r="D85" s="200"/>
      <c r="E85" s="170" t="s">
        <v>960</v>
      </c>
      <c r="F85" s="201">
        <f>F86+F87</f>
        <v>869700</v>
      </c>
      <c r="G85" s="201">
        <f>G86+G87</f>
        <v>869670</v>
      </c>
      <c r="H85" s="203">
        <f t="shared" si="3"/>
        <v>99.99655053466712</v>
      </c>
    </row>
    <row r="86" spans="1:8" s="195" customFormat="1" ht="33.75" customHeight="1">
      <c r="A86" s="187" t="s">
        <v>800</v>
      </c>
      <c r="B86" s="187" t="s">
        <v>957</v>
      </c>
      <c r="C86" s="187" t="s">
        <v>959</v>
      </c>
      <c r="D86" s="200" t="s">
        <v>876</v>
      </c>
      <c r="E86" s="170" t="s">
        <v>877</v>
      </c>
      <c r="F86" s="201">
        <v>715940</v>
      </c>
      <c r="G86" s="198">
        <v>715940</v>
      </c>
      <c r="H86" s="203">
        <f t="shared" si="3"/>
        <v>100</v>
      </c>
    </row>
    <row r="87" spans="1:8" s="195" customFormat="1" ht="33.75" customHeight="1">
      <c r="A87" s="187" t="s">
        <v>802</v>
      </c>
      <c r="B87" s="187" t="s">
        <v>957</v>
      </c>
      <c r="C87" s="187" t="s">
        <v>959</v>
      </c>
      <c r="D87" s="200" t="s">
        <v>882</v>
      </c>
      <c r="E87" s="170" t="s">
        <v>920</v>
      </c>
      <c r="F87" s="201">
        <v>153760</v>
      </c>
      <c r="G87" s="198">
        <v>153730</v>
      </c>
      <c r="H87" s="203">
        <f t="shared" si="3"/>
        <v>99.98048907388137</v>
      </c>
    </row>
    <row r="88" spans="1:8" s="195" customFormat="1" ht="36" customHeight="1">
      <c r="A88" s="187" t="s">
        <v>804</v>
      </c>
      <c r="B88" s="188" t="s">
        <v>961</v>
      </c>
      <c r="C88" s="188"/>
      <c r="D88" s="189"/>
      <c r="E88" s="194" t="s">
        <v>962</v>
      </c>
      <c r="F88" s="191">
        <f>F89+F102+F112</f>
        <v>6510638</v>
      </c>
      <c r="G88" s="191">
        <f>G89+G102+G112</f>
        <v>6223240.43</v>
      </c>
      <c r="H88" s="206">
        <f t="shared" si="3"/>
        <v>95.58572339607885</v>
      </c>
    </row>
    <row r="89" spans="1:8" s="195" customFormat="1" ht="53.25" customHeight="1">
      <c r="A89" s="187" t="s">
        <v>806</v>
      </c>
      <c r="B89" s="188" t="s">
        <v>963</v>
      </c>
      <c r="C89" s="188"/>
      <c r="D89" s="189"/>
      <c r="E89" s="194" t="s">
        <v>964</v>
      </c>
      <c r="F89" s="191">
        <f>F90</f>
        <v>5394865</v>
      </c>
      <c r="G89" s="191">
        <f>G90</f>
        <v>5203455.39</v>
      </c>
      <c r="H89" s="206">
        <f t="shared" si="3"/>
        <v>96.45200371093622</v>
      </c>
    </row>
    <row r="90" spans="1:8" s="195" customFormat="1" ht="110.25" customHeight="1">
      <c r="A90" s="187" t="s">
        <v>809</v>
      </c>
      <c r="B90" s="187" t="s">
        <v>963</v>
      </c>
      <c r="C90" s="187" t="s">
        <v>965</v>
      </c>
      <c r="D90" s="200"/>
      <c r="E90" s="170" t="s">
        <v>966</v>
      </c>
      <c r="F90" s="196">
        <f>F91</f>
        <v>5394865</v>
      </c>
      <c r="G90" s="196">
        <f>G91</f>
        <v>5203455.39</v>
      </c>
      <c r="H90" s="203">
        <f t="shared" si="3"/>
        <v>96.45200371093622</v>
      </c>
    </row>
    <row r="91" spans="1:8" s="195" customFormat="1" ht="63.75" customHeight="1">
      <c r="A91" s="187" t="s">
        <v>812</v>
      </c>
      <c r="B91" s="187" t="s">
        <v>963</v>
      </c>
      <c r="C91" s="187" t="s">
        <v>967</v>
      </c>
      <c r="D91" s="200"/>
      <c r="E91" s="170" t="s">
        <v>968</v>
      </c>
      <c r="F91" s="201">
        <f>F92+F94+F96+F100</f>
        <v>5394865</v>
      </c>
      <c r="G91" s="201">
        <f>G92+G94+G96+G100</f>
        <v>5203455.39</v>
      </c>
      <c r="H91" s="203">
        <f t="shared" si="3"/>
        <v>96.45200371093622</v>
      </c>
    </row>
    <row r="92" spans="1:8" s="195" customFormat="1" ht="81.75" customHeight="1">
      <c r="A92" s="187" t="s">
        <v>814</v>
      </c>
      <c r="B92" s="187" t="s">
        <v>963</v>
      </c>
      <c r="C92" s="187" t="s">
        <v>969</v>
      </c>
      <c r="D92" s="200"/>
      <c r="E92" s="210" t="s">
        <v>970</v>
      </c>
      <c r="F92" s="201">
        <f>F93</f>
        <v>228557</v>
      </c>
      <c r="G92" s="201">
        <f>G93</f>
        <v>64496.63</v>
      </c>
      <c r="H92" s="203">
        <f t="shared" si="3"/>
        <v>28.219056952970156</v>
      </c>
    </row>
    <row r="93" spans="1:8" s="195" customFormat="1" ht="54.75" customHeight="1">
      <c r="A93" s="187" t="s">
        <v>817</v>
      </c>
      <c r="B93" s="187" t="s">
        <v>963</v>
      </c>
      <c r="C93" s="187" t="s">
        <v>969</v>
      </c>
      <c r="D93" s="200" t="s">
        <v>882</v>
      </c>
      <c r="E93" s="204" t="s">
        <v>883</v>
      </c>
      <c r="F93" s="201">
        <v>228557</v>
      </c>
      <c r="G93" s="198">
        <v>64496.63</v>
      </c>
      <c r="H93" s="203">
        <f t="shared" si="3"/>
        <v>28.219056952970156</v>
      </c>
    </row>
    <row r="94" spans="1:8" s="195" customFormat="1" ht="52.5" customHeight="1">
      <c r="A94" s="187" t="s">
        <v>820</v>
      </c>
      <c r="B94" s="187" t="s">
        <v>963</v>
      </c>
      <c r="C94" s="187" t="s">
        <v>971</v>
      </c>
      <c r="D94" s="200"/>
      <c r="E94" s="210" t="s">
        <v>972</v>
      </c>
      <c r="F94" s="201">
        <f>F95</f>
        <v>8610</v>
      </c>
      <c r="G94" s="201">
        <f>G95</f>
        <v>0</v>
      </c>
      <c r="H94" s="203">
        <f t="shared" si="3"/>
        <v>0</v>
      </c>
    </row>
    <row r="95" spans="1:8" s="195" customFormat="1" ht="53.25" customHeight="1">
      <c r="A95" s="187" t="s">
        <v>823</v>
      </c>
      <c r="B95" s="187" t="s">
        <v>963</v>
      </c>
      <c r="C95" s="187" t="s">
        <v>971</v>
      </c>
      <c r="D95" s="200" t="s">
        <v>882</v>
      </c>
      <c r="E95" s="204" t="s">
        <v>883</v>
      </c>
      <c r="F95" s="201">
        <v>8610</v>
      </c>
      <c r="G95" s="203">
        <v>0</v>
      </c>
      <c r="H95" s="203">
        <f t="shared" si="3"/>
        <v>0</v>
      </c>
    </row>
    <row r="96" spans="1:8" s="195" customFormat="1" ht="24.75" customHeight="1">
      <c r="A96" s="187" t="s">
        <v>826</v>
      </c>
      <c r="B96" s="187" t="s">
        <v>963</v>
      </c>
      <c r="C96" s="187" t="s">
        <v>973</v>
      </c>
      <c r="D96" s="200"/>
      <c r="E96" s="170" t="s">
        <v>974</v>
      </c>
      <c r="F96" s="201">
        <f>SUM(F97:F99)</f>
        <v>5052610</v>
      </c>
      <c r="G96" s="201">
        <f>SUM(G97:G99)</f>
        <v>5033871.93</v>
      </c>
      <c r="H96" s="203">
        <f t="shared" si="3"/>
        <v>99.62914078070541</v>
      </c>
    </row>
    <row r="97" spans="1:8" s="195" customFormat="1" ht="33" customHeight="1">
      <c r="A97" s="187" t="s">
        <v>828</v>
      </c>
      <c r="B97" s="187" t="s">
        <v>963</v>
      </c>
      <c r="C97" s="187" t="s">
        <v>973</v>
      </c>
      <c r="D97" s="200" t="s">
        <v>946</v>
      </c>
      <c r="E97" s="170" t="s">
        <v>947</v>
      </c>
      <c r="F97" s="201">
        <v>3639200</v>
      </c>
      <c r="G97" s="198">
        <v>3638000</v>
      </c>
      <c r="H97" s="203">
        <f t="shared" si="3"/>
        <v>99.96702571993845</v>
      </c>
    </row>
    <row r="98" spans="1:8" s="183" customFormat="1" ht="53.25" customHeight="1">
      <c r="A98" s="187" t="s">
        <v>831</v>
      </c>
      <c r="B98" s="187" t="s">
        <v>963</v>
      </c>
      <c r="C98" s="187" t="s">
        <v>973</v>
      </c>
      <c r="D98" s="202" t="s">
        <v>882</v>
      </c>
      <c r="E98" s="204" t="s">
        <v>883</v>
      </c>
      <c r="F98" s="212">
        <v>1410614</v>
      </c>
      <c r="G98" s="198">
        <v>1394163.93</v>
      </c>
      <c r="H98" s="203">
        <f t="shared" si="3"/>
        <v>98.83383618764594</v>
      </c>
    </row>
    <row r="99" spans="1:8" s="183" customFormat="1" ht="27.75" customHeight="1">
      <c r="A99" s="187" t="s">
        <v>834</v>
      </c>
      <c r="B99" s="187" t="s">
        <v>963</v>
      </c>
      <c r="C99" s="187" t="s">
        <v>973</v>
      </c>
      <c r="D99" s="202" t="s">
        <v>891</v>
      </c>
      <c r="E99" s="205" t="s">
        <v>892</v>
      </c>
      <c r="F99" s="213">
        <v>2796</v>
      </c>
      <c r="G99" s="214">
        <v>1708</v>
      </c>
      <c r="H99" s="203">
        <f t="shared" si="3"/>
        <v>61.08726752503576</v>
      </c>
    </row>
    <row r="100" spans="1:8" s="183" customFormat="1" ht="21.75" customHeight="1">
      <c r="A100" s="187" t="s">
        <v>837</v>
      </c>
      <c r="B100" s="187" t="s">
        <v>963</v>
      </c>
      <c r="C100" s="187" t="s">
        <v>975</v>
      </c>
      <c r="D100" s="202"/>
      <c r="E100" s="204" t="s">
        <v>893</v>
      </c>
      <c r="F100" s="211">
        <f>F101</f>
        <v>105088</v>
      </c>
      <c r="G100" s="201">
        <f>G101</f>
        <v>105086.83</v>
      </c>
      <c r="H100" s="203">
        <f t="shared" si="3"/>
        <v>99.99888664738124</v>
      </c>
    </row>
    <row r="101" spans="1:8" s="183" customFormat="1" ht="61.5" customHeight="1">
      <c r="A101" s="187" t="s">
        <v>840</v>
      </c>
      <c r="B101" s="187" t="s">
        <v>963</v>
      </c>
      <c r="C101" s="187" t="s">
        <v>975</v>
      </c>
      <c r="D101" s="202" t="s">
        <v>882</v>
      </c>
      <c r="E101" s="204" t="s">
        <v>883</v>
      </c>
      <c r="F101" s="201">
        <f>4360+1325+12838+86565</f>
        <v>105088</v>
      </c>
      <c r="G101" s="198">
        <v>105086.83</v>
      </c>
      <c r="H101" s="203">
        <f t="shared" si="3"/>
        <v>99.99888664738124</v>
      </c>
    </row>
    <row r="102" spans="1:8" s="183" customFormat="1" ht="22.5" customHeight="1">
      <c r="A102" s="187" t="s">
        <v>842</v>
      </c>
      <c r="B102" s="188" t="s">
        <v>976</v>
      </c>
      <c r="C102" s="188"/>
      <c r="D102" s="189"/>
      <c r="E102" s="194" t="s">
        <v>977</v>
      </c>
      <c r="F102" s="191">
        <f>F103</f>
        <v>764573</v>
      </c>
      <c r="G102" s="191">
        <f>G103</f>
        <v>672971</v>
      </c>
      <c r="H102" s="206">
        <f t="shared" si="3"/>
        <v>88.01919502781291</v>
      </c>
    </row>
    <row r="103" spans="1:8" ht="112.5" customHeight="1">
      <c r="A103" s="187" t="s">
        <v>845</v>
      </c>
      <c r="B103" s="187" t="s">
        <v>976</v>
      </c>
      <c r="C103" s="187" t="s">
        <v>965</v>
      </c>
      <c r="D103" s="200"/>
      <c r="E103" s="170" t="s">
        <v>966</v>
      </c>
      <c r="F103" s="196">
        <f>F104</f>
        <v>764573</v>
      </c>
      <c r="G103" s="196">
        <f>G104</f>
        <v>672971</v>
      </c>
      <c r="H103" s="203">
        <f t="shared" si="3"/>
        <v>88.01919502781291</v>
      </c>
    </row>
    <row r="104" spans="1:8" ht="54.75" customHeight="1">
      <c r="A104" s="187" t="s">
        <v>848</v>
      </c>
      <c r="B104" s="187" t="s">
        <v>976</v>
      </c>
      <c r="C104" s="187" t="s">
        <v>978</v>
      </c>
      <c r="D104" s="200"/>
      <c r="E104" s="170" t="s">
        <v>979</v>
      </c>
      <c r="F104" s="201">
        <f>F105+F107+F110</f>
        <v>764573</v>
      </c>
      <c r="G104" s="201">
        <f>G105+G107+G110</f>
        <v>672971</v>
      </c>
      <c r="H104" s="203">
        <f t="shared" si="3"/>
        <v>88.01919502781291</v>
      </c>
    </row>
    <row r="105" spans="1:8" s="195" customFormat="1" ht="85.5" customHeight="1">
      <c r="A105" s="187" t="s">
        <v>850</v>
      </c>
      <c r="B105" s="187" t="s">
        <v>976</v>
      </c>
      <c r="C105" s="187" t="s">
        <v>980</v>
      </c>
      <c r="D105" s="200"/>
      <c r="E105" s="170" t="s">
        <v>981</v>
      </c>
      <c r="F105" s="201">
        <f>F106</f>
        <v>117778</v>
      </c>
      <c r="G105" s="201">
        <f>G106</f>
        <v>29176.4</v>
      </c>
      <c r="H105" s="203">
        <f t="shared" si="3"/>
        <v>24.772368354021975</v>
      </c>
    </row>
    <row r="106" spans="1:8" ht="36" customHeight="1">
      <c r="A106" s="187" t="s">
        <v>982</v>
      </c>
      <c r="B106" s="187" t="s">
        <v>976</v>
      </c>
      <c r="C106" s="187" t="s">
        <v>980</v>
      </c>
      <c r="D106" s="200" t="s">
        <v>882</v>
      </c>
      <c r="E106" s="204" t="s">
        <v>883</v>
      </c>
      <c r="F106" s="201">
        <f>325080-130151-53151-24000</f>
        <v>117778</v>
      </c>
      <c r="G106" s="198">
        <v>29176.4</v>
      </c>
      <c r="H106" s="203">
        <f t="shared" si="3"/>
        <v>24.772368354021975</v>
      </c>
    </row>
    <row r="107" spans="1:8" ht="32.25" customHeight="1">
      <c r="A107" s="187" t="s">
        <v>983</v>
      </c>
      <c r="B107" s="187" t="s">
        <v>976</v>
      </c>
      <c r="C107" s="187" t="s">
        <v>984</v>
      </c>
      <c r="D107" s="200"/>
      <c r="E107" s="204" t="s">
        <v>893</v>
      </c>
      <c r="F107" s="201">
        <f>F108+F109</f>
        <v>593644</v>
      </c>
      <c r="G107" s="201">
        <f>G108+G109</f>
        <v>590643.6</v>
      </c>
      <c r="H107" s="203">
        <f t="shared" si="3"/>
        <v>99.49457924277849</v>
      </c>
    </row>
    <row r="108" spans="1:8" s="183" customFormat="1" ht="49.5" customHeight="1">
      <c r="A108" s="187" t="s">
        <v>985</v>
      </c>
      <c r="B108" s="187" t="s">
        <v>976</v>
      </c>
      <c r="C108" s="187" t="s">
        <v>984</v>
      </c>
      <c r="D108" s="200" t="s">
        <v>986</v>
      </c>
      <c r="E108" s="204" t="s">
        <v>883</v>
      </c>
      <c r="F108" s="201">
        <f>12599+383047+133998</f>
        <v>529644</v>
      </c>
      <c r="G108" s="198">
        <v>529643.6</v>
      </c>
      <c r="H108" s="203">
        <f t="shared" si="3"/>
        <v>99.99992447757361</v>
      </c>
    </row>
    <row r="109" spans="1:8" s="183" customFormat="1" ht="21.75" customHeight="1">
      <c r="A109" s="187" t="s">
        <v>987</v>
      </c>
      <c r="B109" s="187" t="s">
        <v>976</v>
      </c>
      <c r="C109" s="187" t="s">
        <v>984</v>
      </c>
      <c r="D109" s="200" t="s">
        <v>988</v>
      </c>
      <c r="E109" s="170" t="s">
        <v>989</v>
      </c>
      <c r="F109" s="201">
        <v>64000</v>
      </c>
      <c r="G109" s="198">
        <v>61000</v>
      </c>
      <c r="H109" s="203">
        <f t="shared" si="3"/>
        <v>95.3125</v>
      </c>
    </row>
    <row r="110" spans="1:8" s="183" customFormat="1" ht="40.5" customHeight="1">
      <c r="A110" s="187" t="s">
        <v>990</v>
      </c>
      <c r="B110" s="187" t="s">
        <v>976</v>
      </c>
      <c r="C110" s="187" t="s">
        <v>991</v>
      </c>
      <c r="D110" s="200"/>
      <c r="E110" s="170" t="s">
        <v>992</v>
      </c>
      <c r="F110" s="201">
        <f>F111</f>
        <v>53151</v>
      </c>
      <c r="G110" s="201">
        <f>G111</f>
        <v>53151</v>
      </c>
      <c r="H110" s="203">
        <f t="shared" si="3"/>
        <v>100</v>
      </c>
    </row>
    <row r="111" spans="1:8" s="183" customFormat="1" ht="51.75" customHeight="1">
      <c r="A111" s="187" t="s">
        <v>993</v>
      </c>
      <c r="B111" s="187" t="s">
        <v>976</v>
      </c>
      <c r="C111" s="187" t="s">
        <v>991</v>
      </c>
      <c r="D111" s="200" t="s">
        <v>882</v>
      </c>
      <c r="E111" s="204" t="s">
        <v>883</v>
      </c>
      <c r="F111" s="201">
        <v>53151</v>
      </c>
      <c r="G111" s="198">
        <v>53151</v>
      </c>
      <c r="H111" s="203">
        <f t="shared" si="3"/>
        <v>100</v>
      </c>
    </row>
    <row r="112" spans="1:8" ht="52.5" customHeight="1">
      <c r="A112" s="187" t="s">
        <v>994</v>
      </c>
      <c r="B112" s="188" t="s">
        <v>995</v>
      </c>
      <c r="C112" s="187"/>
      <c r="D112" s="200"/>
      <c r="E112" s="215" t="s">
        <v>996</v>
      </c>
      <c r="F112" s="191">
        <f>F113+F120</f>
        <v>351200</v>
      </c>
      <c r="G112" s="191">
        <f>G113+G120</f>
        <v>346814.04</v>
      </c>
      <c r="H112" s="206">
        <f t="shared" si="3"/>
        <v>98.75115034168564</v>
      </c>
    </row>
    <row r="113" spans="1:8" s="183" customFormat="1" ht="51" customHeight="1">
      <c r="A113" s="187" t="s">
        <v>997</v>
      </c>
      <c r="B113" s="187" t="s">
        <v>995</v>
      </c>
      <c r="C113" s="187" t="s">
        <v>998</v>
      </c>
      <c r="D113" s="200"/>
      <c r="E113" s="170" t="s">
        <v>999</v>
      </c>
      <c r="F113" s="196">
        <f>F114+F116+F118</f>
        <v>121200</v>
      </c>
      <c r="G113" s="196">
        <f>G114+G116+G118</f>
        <v>116814.04</v>
      </c>
      <c r="H113" s="203">
        <f t="shared" si="3"/>
        <v>96.38122112211221</v>
      </c>
    </row>
    <row r="114" spans="1:8" s="183" customFormat="1" ht="53.25" customHeight="1">
      <c r="A114" s="187" t="s">
        <v>1000</v>
      </c>
      <c r="B114" s="187" t="s">
        <v>995</v>
      </c>
      <c r="C114" s="187" t="s">
        <v>1001</v>
      </c>
      <c r="D114" s="200"/>
      <c r="E114" s="170" t="s">
        <v>1002</v>
      </c>
      <c r="F114" s="196">
        <f>F115</f>
        <v>107700</v>
      </c>
      <c r="G114" s="196">
        <f>G115</f>
        <v>104814.04</v>
      </c>
      <c r="H114" s="203">
        <f t="shared" si="3"/>
        <v>97.32037140204271</v>
      </c>
    </row>
    <row r="115" spans="1:8" s="183" customFormat="1" ht="48.75" customHeight="1">
      <c r="A115" s="187" t="s">
        <v>1003</v>
      </c>
      <c r="B115" s="187" t="s">
        <v>995</v>
      </c>
      <c r="C115" s="187" t="s">
        <v>1001</v>
      </c>
      <c r="D115" s="200" t="s">
        <v>882</v>
      </c>
      <c r="E115" s="204" t="s">
        <v>883</v>
      </c>
      <c r="F115" s="201">
        <v>107700</v>
      </c>
      <c r="G115" s="198">
        <v>104814.04</v>
      </c>
      <c r="H115" s="203">
        <f t="shared" si="3"/>
        <v>97.32037140204271</v>
      </c>
    </row>
    <row r="116" spans="1:8" s="183" customFormat="1" ht="36" customHeight="1">
      <c r="A116" s="187" t="s">
        <v>946</v>
      </c>
      <c r="B116" s="187" t="s">
        <v>995</v>
      </c>
      <c r="C116" s="187" t="s">
        <v>1004</v>
      </c>
      <c r="D116" s="200"/>
      <c r="E116" s="170" t="s">
        <v>1005</v>
      </c>
      <c r="F116" s="201">
        <f>F117</f>
        <v>12000</v>
      </c>
      <c r="G116" s="201">
        <f>G117</f>
        <v>12000</v>
      </c>
      <c r="H116" s="203">
        <f t="shared" si="3"/>
        <v>100</v>
      </c>
    </row>
    <row r="117" spans="1:8" s="183" customFormat="1" ht="57.75" customHeight="1">
      <c r="A117" s="187" t="s">
        <v>1006</v>
      </c>
      <c r="B117" s="187" t="s">
        <v>995</v>
      </c>
      <c r="C117" s="187" t="s">
        <v>1004</v>
      </c>
      <c r="D117" s="200" t="s">
        <v>882</v>
      </c>
      <c r="E117" s="204" t="s">
        <v>883</v>
      </c>
      <c r="F117" s="201">
        <v>12000</v>
      </c>
      <c r="G117" s="198">
        <v>12000</v>
      </c>
      <c r="H117" s="203">
        <f t="shared" si="3"/>
        <v>100</v>
      </c>
    </row>
    <row r="118" spans="1:8" s="183" customFormat="1" ht="53.25" customHeight="1">
      <c r="A118" s="187" t="s">
        <v>1007</v>
      </c>
      <c r="B118" s="187" t="s">
        <v>995</v>
      </c>
      <c r="C118" s="187" t="s">
        <v>1008</v>
      </c>
      <c r="D118" s="200"/>
      <c r="E118" s="170" t="s">
        <v>1009</v>
      </c>
      <c r="F118" s="201">
        <v>1500</v>
      </c>
      <c r="G118" s="201">
        <v>0</v>
      </c>
      <c r="H118" s="203">
        <f t="shared" si="3"/>
        <v>0</v>
      </c>
    </row>
    <row r="119" spans="1:8" s="183" customFormat="1" ht="57.75" customHeight="1">
      <c r="A119" s="187" t="s">
        <v>1010</v>
      </c>
      <c r="B119" s="187" t="s">
        <v>995</v>
      </c>
      <c r="C119" s="187" t="s">
        <v>1008</v>
      </c>
      <c r="D119" s="200" t="s">
        <v>882</v>
      </c>
      <c r="E119" s="204" t="s">
        <v>883</v>
      </c>
      <c r="F119" s="201">
        <v>1500</v>
      </c>
      <c r="G119" s="203">
        <v>0</v>
      </c>
      <c r="H119" s="203">
        <f t="shared" si="3"/>
        <v>0</v>
      </c>
    </row>
    <row r="120" spans="1:8" s="183" customFormat="1" ht="81" customHeight="1">
      <c r="A120" s="187" t="s">
        <v>1011</v>
      </c>
      <c r="B120" s="187" t="s">
        <v>995</v>
      </c>
      <c r="C120" s="187" t="s">
        <v>1012</v>
      </c>
      <c r="D120" s="200"/>
      <c r="E120" s="170" t="s">
        <v>1013</v>
      </c>
      <c r="F120" s="201">
        <f>F121</f>
        <v>230000</v>
      </c>
      <c r="G120" s="201">
        <f>G121</f>
        <v>230000</v>
      </c>
      <c r="H120" s="203">
        <f t="shared" si="3"/>
        <v>100</v>
      </c>
    </row>
    <row r="121" spans="1:8" s="183" customFormat="1" ht="89.25" customHeight="1">
      <c r="A121" s="187" t="s">
        <v>1014</v>
      </c>
      <c r="B121" s="187" t="s">
        <v>995</v>
      </c>
      <c r="C121" s="187" t="s">
        <v>1015</v>
      </c>
      <c r="D121" s="200" t="s">
        <v>882</v>
      </c>
      <c r="E121" s="170" t="s">
        <v>1016</v>
      </c>
      <c r="F121" s="201">
        <v>230000</v>
      </c>
      <c r="G121" s="198">
        <v>230000</v>
      </c>
      <c r="H121" s="203">
        <f t="shared" si="3"/>
        <v>100</v>
      </c>
    </row>
    <row r="122" spans="1:8" s="216" customFormat="1" ht="19.5" customHeight="1">
      <c r="A122" s="187" t="s">
        <v>1017</v>
      </c>
      <c r="B122" s="188" t="s">
        <v>1018</v>
      </c>
      <c r="C122" s="188"/>
      <c r="D122" s="189"/>
      <c r="E122" s="194" t="s">
        <v>1019</v>
      </c>
      <c r="F122" s="191">
        <f>F136+F182+F123+F162+F129+F141</f>
        <v>26343220</v>
      </c>
      <c r="G122" s="191">
        <f>G136+G182+G123+G162+G129+G141</f>
        <v>23428625.33</v>
      </c>
      <c r="H122" s="206">
        <f t="shared" si="3"/>
        <v>88.936072849105</v>
      </c>
    </row>
    <row r="123" spans="1:8" s="216" customFormat="1" ht="20.25" customHeight="1">
      <c r="A123" s="187" t="s">
        <v>1020</v>
      </c>
      <c r="B123" s="188" t="s">
        <v>1021</v>
      </c>
      <c r="C123" s="188"/>
      <c r="D123" s="189"/>
      <c r="E123" s="194" t="s">
        <v>1022</v>
      </c>
      <c r="F123" s="191">
        <f>F124+F127</f>
        <v>196470</v>
      </c>
      <c r="G123" s="191">
        <f>G124+G127</f>
        <v>0</v>
      </c>
      <c r="H123" s="206">
        <f t="shared" si="3"/>
        <v>0</v>
      </c>
    </row>
    <row r="124" spans="1:8" s="216" customFormat="1" ht="69" customHeight="1">
      <c r="A124" s="187" t="s">
        <v>1023</v>
      </c>
      <c r="B124" s="187" t="s">
        <v>1021</v>
      </c>
      <c r="C124" s="187" t="s">
        <v>1024</v>
      </c>
      <c r="D124" s="200"/>
      <c r="E124" s="170" t="s">
        <v>1025</v>
      </c>
      <c r="F124" s="196">
        <f>F125</f>
        <v>53470</v>
      </c>
      <c r="G124" s="196">
        <f>G125</f>
        <v>0</v>
      </c>
      <c r="H124" s="203">
        <f t="shared" si="3"/>
        <v>0</v>
      </c>
    </row>
    <row r="125" spans="1:8" s="216" customFormat="1" ht="66.75" customHeight="1">
      <c r="A125" s="187" t="s">
        <v>1026</v>
      </c>
      <c r="B125" s="187" t="s">
        <v>1021</v>
      </c>
      <c r="C125" s="187" t="s">
        <v>1027</v>
      </c>
      <c r="D125" s="200"/>
      <c r="E125" s="217" t="s">
        <v>1028</v>
      </c>
      <c r="F125" s="201">
        <f>F126</f>
        <v>53470</v>
      </c>
      <c r="G125" s="201">
        <f>G126</f>
        <v>0</v>
      </c>
      <c r="H125" s="203">
        <f t="shared" si="3"/>
        <v>0</v>
      </c>
    </row>
    <row r="126" spans="1:8" s="183" customFormat="1" ht="77.25" customHeight="1">
      <c r="A126" s="187" t="s">
        <v>876</v>
      </c>
      <c r="B126" s="187" t="s">
        <v>1021</v>
      </c>
      <c r="C126" s="187" t="s">
        <v>1027</v>
      </c>
      <c r="D126" s="200" t="s">
        <v>1029</v>
      </c>
      <c r="E126" s="204" t="s">
        <v>1030</v>
      </c>
      <c r="F126" s="201">
        <v>53470</v>
      </c>
      <c r="G126" s="203">
        <v>0</v>
      </c>
      <c r="H126" s="203">
        <f t="shared" si="3"/>
        <v>0</v>
      </c>
    </row>
    <row r="127" spans="1:8" s="183" customFormat="1" ht="63" customHeight="1">
      <c r="A127" s="187" t="s">
        <v>1031</v>
      </c>
      <c r="B127" s="187" t="s">
        <v>1021</v>
      </c>
      <c r="C127" s="187" t="s">
        <v>1032</v>
      </c>
      <c r="D127" s="200"/>
      <c r="E127" s="204" t="s">
        <v>1033</v>
      </c>
      <c r="F127" s="201">
        <f>F128</f>
        <v>143000</v>
      </c>
      <c r="G127" s="203">
        <v>0</v>
      </c>
      <c r="H127" s="203">
        <f t="shared" si="3"/>
        <v>0</v>
      </c>
    </row>
    <row r="128" spans="1:8" s="183" customFormat="1" ht="56.25" customHeight="1">
      <c r="A128" s="187" t="s">
        <v>1034</v>
      </c>
      <c r="B128" s="187" t="s">
        <v>1021</v>
      </c>
      <c r="C128" s="187" t="s">
        <v>1032</v>
      </c>
      <c r="D128" s="200" t="s">
        <v>882</v>
      </c>
      <c r="E128" s="204" t="s">
        <v>883</v>
      </c>
      <c r="F128" s="201">
        <v>143000</v>
      </c>
      <c r="G128" s="203">
        <v>0</v>
      </c>
      <c r="H128" s="203">
        <f t="shared" si="3"/>
        <v>0</v>
      </c>
    </row>
    <row r="129" spans="1:8" s="216" customFormat="1" ht="26.25" customHeight="1">
      <c r="A129" s="187" t="s">
        <v>1035</v>
      </c>
      <c r="B129" s="188" t="s">
        <v>1036</v>
      </c>
      <c r="C129" s="187"/>
      <c r="D129" s="200"/>
      <c r="E129" s="218" t="s">
        <v>1037</v>
      </c>
      <c r="F129" s="191">
        <f>F130</f>
        <v>1013820</v>
      </c>
      <c r="G129" s="191">
        <f>G130</f>
        <v>1013819.44</v>
      </c>
      <c r="H129" s="206">
        <f t="shared" si="3"/>
        <v>99.99994476337022</v>
      </c>
    </row>
    <row r="130" spans="1:8" s="216" customFormat="1" ht="66.75" customHeight="1">
      <c r="A130" s="187" t="s">
        <v>1038</v>
      </c>
      <c r="B130" s="187" t="s">
        <v>1036</v>
      </c>
      <c r="C130" s="187" t="s">
        <v>1039</v>
      </c>
      <c r="D130" s="200"/>
      <c r="E130" s="170" t="s">
        <v>1040</v>
      </c>
      <c r="F130" s="196">
        <f>F131</f>
        <v>1013820</v>
      </c>
      <c r="G130" s="196">
        <f>G131</f>
        <v>1013819.44</v>
      </c>
      <c r="H130" s="203">
        <f t="shared" si="3"/>
        <v>99.99994476337022</v>
      </c>
    </row>
    <row r="131" spans="1:8" s="216" customFormat="1" ht="49.5" customHeight="1">
      <c r="A131" s="187" t="s">
        <v>1041</v>
      </c>
      <c r="B131" s="187" t="s">
        <v>1036</v>
      </c>
      <c r="C131" s="187" t="s">
        <v>1042</v>
      </c>
      <c r="D131" s="200"/>
      <c r="E131" s="170" t="s">
        <v>1043</v>
      </c>
      <c r="F131" s="201">
        <f>F132+F134</f>
        <v>1013820</v>
      </c>
      <c r="G131" s="201">
        <f>G132+G134</f>
        <v>1013819.44</v>
      </c>
      <c r="H131" s="203">
        <f t="shared" si="3"/>
        <v>99.99994476337022</v>
      </c>
    </row>
    <row r="132" spans="1:8" s="216" customFormat="1" ht="20.25" customHeight="1">
      <c r="A132" s="187" t="s">
        <v>1044</v>
      </c>
      <c r="B132" s="187" t="s">
        <v>1036</v>
      </c>
      <c r="C132" s="187" t="s">
        <v>1045</v>
      </c>
      <c r="D132" s="200"/>
      <c r="E132" s="170" t="s">
        <v>1046</v>
      </c>
      <c r="F132" s="201">
        <f>F133</f>
        <v>749969</v>
      </c>
      <c r="G132" s="201">
        <f>G133</f>
        <v>749969</v>
      </c>
      <c r="H132" s="203">
        <f t="shared" si="3"/>
        <v>100</v>
      </c>
    </row>
    <row r="133" spans="1:8" s="183" customFormat="1" ht="51" customHeight="1">
      <c r="A133" s="187" t="s">
        <v>1047</v>
      </c>
      <c r="B133" s="187" t="s">
        <v>1036</v>
      </c>
      <c r="C133" s="187" t="s">
        <v>1045</v>
      </c>
      <c r="D133" s="200" t="s">
        <v>882</v>
      </c>
      <c r="E133" s="204" t="s">
        <v>883</v>
      </c>
      <c r="F133" s="201">
        <f>725969+24000</f>
        <v>749969</v>
      </c>
      <c r="G133" s="201">
        <f>725969+24000</f>
        <v>749969</v>
      </c>
      <c r="H133" s="203">
        <f t="shared" si="3"/>
        <v>100</v>
      </c>
    </row>
    <row r="134" spans="1:8" s="216" customFormat="1" ht="37.5" customHeight="1">
      <c r="A134" s="187" t="s">
        <v>1048</v>
      </c>
      <c r="B134" s="187" t="s">
        <v>1036</v>
      </c>
      <c r="C134" s="187" t="s">
        <v>1049</v>
      </c>
      <c r="D134" s="200"/>
      <c r="E134" s="204" t="s">
        <v>893</v>
      </c>
      <c r="F134" s="219">
        <f>F135</f>
        <v>263851</v>
      </c>
      <c r="G134" s="219">
        <f>G135</f>
        <v>263850.44</v>
      </c>
      <c r="H134" s="203">
        <f t="shared" si="3"/>
        <v>99.99978775900034</v>
      </c>
    </row>
    <row r="135" spans="1:8" s="216" customFormat="1" ht="57" customHeight="1">
      <c r="A135" s="187" t="s">
        <v>1050</v>
      </c>
      <c r="B135" s="187" t="s">
        <v>1036</v>
      </c>
      <c r="C135" s="187" t="s">
        <v>1049</v>
      </c>
      <c r="D135" s="200" t="s">
        <v>882</v>
      </c>
      <c r="E135" s="170" t="s">
        <v>920</v>
      </c>
      <c r="F135" s="201">
        <v>263851</v>
      </c>
      <c r="G135" s="198">
        <v>263850.44</v>
      </c>
      <c r="H135" s="203">
        <f aca="true" t="shared" si="5" ref="H135:H198">G135/F135*100</f>
        <v>99.99978775900034</v>
      </c>
    </row>
    <row r="136" spans="1:8" s="216" customFormat="1" ht="24.75" customHeight="1">
      <c r="A136" s="187" t="s">
        <v>1051</v>
      </c>
      <c r="B136" s="188" t="s">
        <v>1052</v>
      </c>
      <c r="C136" s="188"/>
      <c r="D136" s="189"/>
      <c r="E136" s="194" t="s">
        <v>1053</v>
      </c>
      <c r="F136" s="191">
        <f>F137</f>
        <v>111170</v>
      </c>
      <c r="G136" s="191">
        <f>G137</f>
        <v>0</v>
      </c>
      <c r="H136" s="206">
        <f t="shared" si="5"/>
        <v>0</v>
      </c>
    </row>
    <row r="137" spans="1:8" s="216" customFormat="1" ht="75.75" customHeight="1">
      <c r="A137" s="187" t="s">
        <v>1054</v>
      </c>
      <c r="B137" s="187" t="s">
        <v>1052</v>
      </c>
      <c r="C137" s="187" t="s">
        <v>1039</v>
      </c>
      <c r="D137" s="200"/>
      <c r="E137" s="170" t="s">
        <v>1040</v>
      </c>
      <c r="F137" s="196">
        <f>F138</f>
        <v>111170</v>
      </c>
      <c r="G137" s="196">
        <f>G138</f>
        <v>0</v>
      </c>
      <c r="H137" s="203">
        <f t="shared" si="5"/>
        <v>0</v>
      </c>
    </row>
    <row r="138" spans="1:8" s="216" customFormat="1" ht="40.5" customHeight="1">
      <c r="A138" s="187" t="s">
        <v>1055</v>
      </c>
      <c r="B138" s="187" t="s">
        <v>1052</v>
      </c>
      <c r="C138" s="187" t="s">
        <v>1056</v>
      </c>
      <c r="D138" s="200"/>
      <c r="E138" s="170" t="s">
        <v>1057</v>
      </c>
      <c r="F138" s="201">
        <f>+F139</f>
        <v>111170</v>
      </c>
      <c r="G138" s="201">
        <f>+G139</f>
        <v>0</v>
      </c>
      <c r="H138" s="203">
        <f t="shared" si="5"/>
        <v>0</v>
      </c>
    </row>
    <row r="139" spans="1:8" s="216" customFormat="1" ht="37.5" customHeight="1">
      <c r="A139" s="187" t="s">
        <v>1058</v>
      </c>
      <c r="B139" s="187" t="s">
        <v>1052</v>
      </c>
      <c r="C139" s="187" t="s">
        <v>1059</v>
      </c>
      <c r="D139" s="200"/>
      <c r="E139" s="170" t="s">
        <v>1060</v>
      </c>
      <c r="F139" s="196">
        <f>F140</f>
        <v>111170</v>
      </c>
      <c r="G139" s="196">
        <f>G140</f>
        <v>0</v>
      </c>
      <c r="H139" s="203">
        <f t="shared" si="5"/>
        <v>0</v>
      </c>
    </row>
    <row r="140" spans="1:8" ht="54" customHeight="1">
      <c r="A140" s="187" t="s">
        <v>1061</v>
      </c>
      <c r="B140" s="187" t="s">
        <v>1052</v>
      </c>
      <c r="C140" s="187" t="s">
        <v>1059</v>
      </c>
      <c r="D140" s="200" t="s">
        <v>882</v>
      </c>
      <c r="E140" s="204" t="s">
        <v>883</v>
      </c>
      <c r="F140" s="201">
        <v>111170</v>
      </c>
      <c r="G140" s="203">
        <v>0</v>
      </c>
      <c r="H140" s="203">
        <f t="shared" si="5"/>
        <v>0</v>
      </c>
    </row>
    <row r="141" spans="1:10" ht="24" customHeight="1">
      <c r="A141" s="187" t="s">
        <v>1062</v>
      </c>
      <c r="B141" s="188" t="s">
        <v>1063</v>
      </c>
      <c r="C141" s="220"/>
      <c r="D141" s="221"/>
      <c r="E141" s="194" t="s">
        <v>1064</v>
      </c>
      <c r="F141" s="191">
        <f>F142</f>
        <v>22842533</v>
      </c>
      <c r="G141" s="191">
        <f>G142</f>
        <v>21573559.91</v>
      </c>
      <c r="H141" s="206">
        <f t="shared" si="5"/>
        <v>94.44469188246329</v>
      </c>
      <c r="J141" s="207">
        <f>F141-22842533</f>
        <v>0</v>
      </c>
    </row>
    <row r="142" spans="1:8" ht="75.75" customHeight="1">
      <c r="A142" s="187" t="s">
        <v>1065</v>
      </c>
      <c r="B142" s="187" t="s">
        <v>1063</v>
      </c>
      <c r="C142" s="187" t="s">
        <v>1066</v>
      </c>
      <c r="D142" s="200"/>
      <c r="E142" s="217" t="s">
        <v>1067</v>
      </c>
      <c r="F142" s="196">
        <f>F143+F153</f>
        <v>22842533</v>
      </c>
      <c r="G142" s="196">
        <f>G143+G153</f>
        <v>21573559.91</v>
      </c>
      <c r="H142" s="203">
        <f t="shared" si="5"/>
        <v>94.44469188246329</v>
      </c>
    </row>
    <row r="143" spans="1:8" ht="44.25" customHeight="1">
      <c r="A143" s="187" t="s">
        <v>1068</v>
      </c>
      <c r="B143" s="187" t="s">
        <v>1063</v>
      </c>
      <c r="C143" s="187" t="s">
        <v>1069</v>
      </c>
      <c r="D143" s="200"/>
      <c r="E143" s="222" t="s">
        <v>1070</v>
      </c>
      <c r="F143" s="196">
        <f>F144+F147+F149+F151</f>
        <v>21785793</v>
      </c>
      <c r="G143" s="196">
        <f>G144+G147+G149+G151</f>
        <v>20950217.14</v>
      </c>
      <c r="H143" s="203">
        <f t="shared" si="5"/>
        <v>96.16458368075011</v>
      </c>
    </row>
    <row r="144" spans="1:8" ht="36.75" customHeight="1">
      <c r="A144" s="187" t="s">
        <v>1071</v>
      </c>
      <c r="B144" s="187" t="s">
        <v>1063</v>
      </c>
      <c r="C144" s="187" t="s">
        <v>1072</v>
      </c>
      <c r="D144" s="200"/>
      <c r="E144" s="170" t="s">
        <v>1073</v>
      </c>
      <c r="F144" s="212">
        <f>SUM(F145:F146)</f>
        <v>6487298</v>
      </c>
      <c r="G144" s="212">
        <f>SUM(G145:G146)</f>
        <v>6173938.53</v>
      </c>
      <c r="H144" s="203">
        <f t="shared" si="5"/>
        <v>95.16964582172733</v>
      </c>
    </row>
    <row r="145" spans="1:8" ht="52.5" customHeight="1">
      <c r="A145" s="187" t="s">
        <v>1074</v>
      </c>
      <c r="B145" s="187" t="s">
        <v>1063</v>
      </c>
      <c r="C145" s="187" t="s">
        <v>1072</v>
      </c>
      <c r="D145" s="200" t="s">
        <v>882</v>
      </c>
      <c r="E145" s="204" t="s">
        <v>883</v>
      </c>
      <c r="F145" s="213">
        <v>452965</v>
      </c>
      <c r="G145" s="213">
        <v>159066.03</v>
      </c>
      <c r="H145" s="203">
        <f t="shared" si="5"/>
        <v>35.116627112470056</v>
      </c>
    </row>
    <row r="146" spans="1:8" ht="72" customHeight="1">
      <c r="A146" s="187" t="s">
        <v>1075</v>
      </c>
      <c r="B146" s="187" t="s">
        <v>1063</v>
      </c>
      <c r="C146" s="187" t="s">
        <v>1072</v>
      </c>
      <c r="D146" s="200" t="s">
        <v>1029</v>
      </c>
      <c r="E146" s="204" t="s">
        <v>1030</v>
      </c>
      <c r="F146" s="211">
        <v>6034333</v>
      </c>
      <c r="G146" s="198">
        <v>6014872.5</v>
      </c>
      <c r="H146" s="203">
        <f t="shared" si="5"/>
        <v>99.67750371084924</v>
      </c>
    </row>
    <row r="147" spans="1:8" ht="42.75" customHeight="1">
      <c r="A147" s="187" t="s">
        <v>1076</v>
      </c>
      <c r="B147" s="187" t="s">
        <v>1063</v>
      </c>
      <c r="C147" s="187" t="s">
        <v>1077</v>
      </c>
      <c r="D147" s="200"/>
      <c r="E147" s="170" t="s">
        <v>1078</v>
      </c>
      <c r="F147" s="201">
        <f>F148</f>
        <v>12515000</v>
      </c>
      <c r="G147" s="201">
        <f>G148</f>
        <v>12490000</v>
      </c>
      <c r="H147" s="203">
        <f t="shared" si="5"/>
        <v>99.80023971234519</v>
      </c>
    </row>
    <row r="148" spans="1:8" ht="62.25" customHeight="1">
      <c r="A148" s="187" t="s">
        <v>1079</v>
      </c>
      <c r="B148" s="187" t="s">
        <v>1063</v>
      </c>
      <c r="C148" s="187" t="s">
        <v>1077</v>
      </c>
      <c r="D148" s="200" t="s">
        <v>882</v>
      </c>
      <c r="E148" s="204" t="s">
        <v>883</v>
      </c>
      <c r="F148" s="201">
        <f>13000290-485290</f>
        <v>12515000</v>
      </c>
      <c r="G148" s="198">
        <v>12490000</v>
      </c>
      <c r="H148" s="203">
        <f t="shared" si="5"/>
        <v>99.80023971234519</v>
      </c>
    </row>
    <row r="149" spans="1:8" ht="66.75" customHeight="1">
      <c r="A149" s="187" t="s">
        <v>1080</v>
      </c>
      <c r="B149" s="187" t="s">
        <v>1063</v>
      </c>
      <c r="C149" s="187" t="s">
        <v>1081</v>
      </c>
      <c r="D149" s="200"/>
      <c r="E149" s="170" t="s">
        <v>1082</v>
      </c>
      <c r="F149" s="201">
        <f>F150</f>
        <v>430000</v>
      </c>
      <c r="G149" s="201">
        <f>G150</f>
        <v>389150</v>
      </c>
      <c r="H149" s="203">
        <f t="shared" si="5"/>
        <v>90.5</v>
      </c>
    </row>
    <row r="150" spans="1:8" ht="50.25" customHeight="1">
      <c r="A150" s="187" t="s">
        <v>1083</v>
      </c>
      <c r="B150" s="187" t="s">
        <v>1063</v>
      </c>
      <c r="C150" s="187" t="s">
        <v>1081</v>
      </c>
      <c r="D150" s="200" t="s">
        <v>882</v>
      </c>
      <c r="E150" s="204" t="s">
        <v>883</v>
      </c>
      <c r="F150" s="201">
        <v>430000</v>
      </c>
      <c r="G150" s="198">
        <v>389150</v>
      </c>
      <c r="H150" s="203">
        <f t="shared" si="5"/>
        <v>90.5</v>
      </c>
    </row>
    <row r="151" spans="1:8" ht="33.75" customHeight="1">
      <c r="A151" s="187" t="s">
        <v>1084</v>
      </c>
      <c r="B151" s="187" t="s">
        <v>1063</v>
      </c>
      <c r="C151" s="187" t="s">
        <v>1085</v>
      </c>
      <c r="D151" s="200"/>
      <c r="E151" s="204" t="s">
        <v>893</v>
      </c>
      <c r="F151" s="201">
        <f>F152</f>
        <v>2353495</v>
      </c>
      <c r="G151" s="201">
        <f>G152</f>
        <v>1897128.61</v>
      </c>
      <c r="H151" s="203">
        <f t="shared" si="5"/>
        <v>80.60899258337069</v>
      </c>
    </row>
    <row r="152" spans="1:8" ht="57" customHeight="1">
      <c r="A152" s="187" t="s">
        <v>1086</v>
      </c>
      <c r="B152" s="187" t="s">
        <v>1063</v>
      </c>
      <c r="C152" s="187" t="s">
        <v>1085</v>
      </c>
      <c r="D152" s="200" t="s">
        <v>882</v>
      </c>
      <c r="E152" s="204" t="s">
        <v>883</v>
      </c>
      <c r="F152" s="201">
        <f>667350+429666+729507+275200+52772+199000</f>
        <v>2353495</v>
      </c>
      <c r="G152" s="198">
        <v>1897128.61</v>
      </c>
      <c r="H152" s="203">
        <f t="shared" si="5"/>
        <v>80.60899258337069</v>
      </c>
    </row>
    <row r="153" spans="1:8" ht="56.25" customHeight="1">
      <c r="A153" s="187" t="s">
        <v>1087</v>
      </c>
      <c r="B153" s="187" t="s">
        <v>1063</v>
      </c>
      <c r="C153" s="187" t="s">
        <v>1088</v>
      </c>
      <c r="D153" s="200"/>
      <c r="E153" s="222" t="s">
        <v>1089</v>
      </c>
      <c r="F153" s="196">
        <f>F154+F156+F158+F160</f>
        <v>1056740</v>
      </c>
      <c r="G153" s="196">
        <f>G154+G156+G158+G160</f>
        <v>623342.77</v>
      </c>
      <c r="H153" s="203">
        <f t="shared" si="5"/>
        <v>58.98733557923425</v>
      </c>
    </row>
    <row r="154" spans="1:8" ht="47.25" customHeight="1">
      <c r="A154" s="187" t="s">
        <v>1090</v>
      </c>
      <c r="B154" s="187" t="s">
        <v>1063</v>
      </c>
      <c r="C154" s="187" t="s">
        <v>1091</v>
      </c>
      <c r="D154" s="200"/>
      <c r="E154" s="222" t="s">
        <v>1092</v>
      </c>
      <c r="F154" s="201">
        <f>F155</f>
        <v>630030</v>
      </c>
      <c r="G154" s="201">
        <f>G155</f>
        <v>368348</v>
      </c>
      <c r="H154" s="203">
        <f t="shared" si="5"/>
        <v>58.46515245305779</v>
      </c>
    </row>
    <row r="155" spans="1:8" ht="60" customHeight="1">
      <c r="A155" s="187" t="s">
        <v>1093</v>
      </c>
      <c r="B155" s="187" t="s">
        <v>1063</v>
      </c>
      <c r="C155" s="187" t="s">
        <v>1091</v>
      </c>
      <c r="D155" s="200" t="s">
        <v>882</v>
      </c>
      <c r="E155" s="204" t="s">
        <v>883</v>
      </c>
      <c r="F155" s="201">
        <v>630030</v>
      </c>
      <c r="G155" s="198">
        <v>368348</v>
      </c>
      <c r="H155" s="203">
        <f t="shared" si="5"/>
        <v>58.46515245305779</v>
      </c>
    </row>
    <row r="156" spans="1:8" ht="65.25" customHeight="1">
      <c r="A156" s="187" t="s">
        <v>1094</v>
      </c>
      <c r="B156" s="187" t="s">
        <v>1063</v>
      </c>
      <c r="C156" s="187" t="s">
        <v>1095</v>
      </c>
      <c r="D156" s="200"/>
      <c r="E156" s="204" t="s">
        <v>1096</v>
      </c>
      <c r="F156" s="196">
        <f>F157</f>
        <v>41714</v>
      </c>
      <c r="G156" s="196">
        <f>G157</f>
        <v>0</v>
      </c>
      <c r="H156" s="203">
        <f t="shared" si="5"/>
        <v>0</v>
      </c>
    </row>
    <row r="157" spans="1:8" ht="48" customHeight="1">
      <c r="A157" s="187" t="s">
        <v>1097</v>
      </c>
      <c r="B157" s="187" t="s">
        <v>1063</v>
      </c>
      <c r="C157" s="187" t="s">
        <v>1095</v>
      </c>
      <c r="D157" s="200" t="s">
        <v>882</v>
      </c>
      <c r="E157" s="204" t="s">
        <v>883</v>
      </c>
      <c r="F157" s="196">
        <f>50000-8286</f>
        <v>41714</v>
      </c>
      <c r="G157" s="203">
        <v>0</v>
      </c>
      <c r="H157" s="203">
        <f t="shared" si="5"/>
        <v>0</v>
      </c>
    </row>
    <row r="158" spans="1:8" ht="45.75" customHeight="1">
      <c r="A158" s="187" t="s">
        <v>1098</v>
      </c>
      <c r="B158" s="187" t="s">
        <v>1063</v>
      </c>
      <c r="C158" s="187" t="s">
        <v>1099</v>
      </c>
      <c r="D158" s="200"/>
      <c r="E158" s="204" t="s">
        <v>1100</v>
      </c>
      <c r="F158" s="196">
        <f>F159</f>
        <v>130000</v>
      </c>
      <c r="G158" s="196">
        <f>G159</f>
        <v>0</v>
      </c>
      <c r="H158" s="203">
        <f t="shared" si="5"/>
        <v>0</v>
      </c>
    </row>
    <row r="159" spans="1:8" ht="33" customHeight="1">
      <c r="A159" s="187" t="s">
        <v>1101</v>
      </c>
      <c r="B159" s="187" t="s">
        <v>1063</v>
      </c>
      <c r="C159" s="187" t="s">
        <v>1099</v>
      </c>
      <c r="D159" s="200" t="s">
        <v>882</v>
      </c>
      <c r="E159" s="204" t="s">
        <v>920</v>
      </c>
      <c r="F159" s="196">
        <v>130000</v>
      </c>
      <c r="G159" s="203">
        <v>0</v>
      </c>
      <c r="H159" s="203">
        <f t="shared" si="5"/>
        <v>0</v>
      </c>
    </row>
    <row r="160" spans="1:8" ht="38.25" customHeight="1">
      <c r="A160" s="187" t="s">
        <v>1102</v>
      </c>
      <c r="B160" s="187" t="s">
        <v>1063</v>
      </c>
      <c r="C160" s="187" t="s">
        <v>1103</v>
      </c>
      <c r="D160" s="200"/>
      <c r="E160" s="204" t="s">
        <v>893</v>
      </c>
      <c r="F160" s="196">
        <f>F161</f>
        <v>254996</v>
      </c>
      <c r="G160" s="196">
        <f>G161</f>
        <v>254994.77</v>
      </c>
      <c r="H160" s="203">
        <f t="shared" si="5"/>
        <v>99.99951763949238</v>
      </c>
    </row>
    <row r="161" spans="1:8" ht="44.25" customHeight="1">
      <c r="A161" s="187" t="s">
        <v>1104</v>
      </c>
      <c r="B161" s="187" t="s">
        <v>1063</v>
      </c>
      <c r="C161" s="187" t="s">
        <v>1103</v>
      </c>
      <c r="D161" s="200" t="s">
        <v>882</v>
      </c>
      <c r="E161" s="204" t="s">
        <v>883</v>
      </c>
      <c r="F161" s="196">
        <f>8286+238424+8286</f>
        <v>254996</v>
      </c>
      <c r="G161" s="198">
        <v>254994.77</v>
      </c>
      <c r="H161" s="203">
        <f t="shared" si="5"/>
        <v>99.99951763949238</v>
      </c>
    </row>
    <row r="162" spans="1:8" ht="27.75" customHeight="1">
      <c r="A162" s="187" t="s">
        <v>1105</v>
      </c>
      <c r="B162" s="188" t="s">
        <v>1106</v>
      </c>
      <c r="C162" s="188"/>
      <c r="D162" s="189"/>
      <c r="E162" s="223" t="s">
        <v>1107</v>
      </c>
      <c r="F162" s="191">
        <f>F163</f>
        <v>191100</v>
      </c>
      <c r="G162" s="191">
        <f>G163</f>
        <v>107000</v>
      </c>
      <c r="H162" s="206">
        <f t="shared" si="5"/>
        <v>55.99162742019885</v>
      </c>
    </row>
    <row r="163" spans="1:8" ht="48.75" customHeight="1">
      <c r="A163" s="187" t="s">
        <v>1108</v>
      </c>
      <c r="B163" s="187" t="s">
        <v>1106</v>
      </c>
      <c r="C163" s="187" t="s">
        <v>1109</v>
      </c>
      <c r="D163" s="200"/>
      <c r="E163" s="170" t="s">
        <v>1110</v>
      </c>
      <c r="F163" s="196">
        <f>F164+F169+F174+F177</f>
        <v>191100</v>
      </c>
      <c r="G163" s="196">
        <f>G164+G169+G174+G177</f>
        <v>107000</v>
      </c>
      <c r="H163" s="203">
        <f t="shared" si="5"/>
        <v>55.99162742019885</v>
      </c>
    </row>
    <row r="164" spans="1:8" ht="37.5" customHeight="1">
      <c r="A164" s="187" t="s">
        <v>1111</v>
      </c>
      <c r="B164" s="187" t="s">
        <v>1106</v>
      </c>
      <c r="C164" s="187" t="s">
        <v>1112</v>
      </c>
      <c r="D164" s="200"/>
      <c r="E164" s="170" t="s">
        <v>1113</v>
      </c>
      <c r="F164" s="196">
        <f>F165+F167</f>
        <v>64600</v>
      </c>
      <c r="G164" s="196">
        <f>G165+G167</f>
        <v>52500</v>
      </c>
      <c r="H164" s="203">
        <f t="shared" si="5"/>
        <v>81.26934984520123</v>
      </c>
    </row>
    <row r="165" spans="1:8" ht="36.75" customHeight="1">
      <c r="A165" s="187" t="s">
        <v>1114</v>
      </c>
      <c r="B165" s="187" t="s">
        <v>1106</v>
      </c>
      <c r="C165" s="187" t="s">
        <v>1115</v>
      </c>
      <c r="D165" s="200"/>
      <c r="E165" s="170" t="s">
        <v>1116</v>
      </c>
      <c r="F165" s="196">
        <f>F166</f>
        <v>26800</v>
      </c>
      <c r="G165" s="198">
        <v>22500</v>
      </c>
      <c r="H165" s="203">
        <f t="shared" si="5"/>
        <v>83.95522388059702</v>
      </c>
    </row>
    <row r="166" spans="1:8" ht="52.5" customHeight="1">
      <c r="A166" s="187" t="s">
        <v>1117</v>
      </c>
      <c r="B166" s="187" t="s">
        <v>1106</v>
      </c>
      <c r="C166" s="187" t="s">
        <v>1115</v>
      </c>
      <c r="D166" s="200" t="s">
        <v>882</v>
      </c>
      <c r="E166" s="204" t="s">
        <v>883</v>
      </c>
      <c r="F166" s="196">
        <v>26800</v>
      </c>
      <c r="G166" s="198">
        <v>22500</v>
      </c>
      <c r="H166" s="203">
        <f t="shared" si="5"/>
        <v>83.95522388059702</v>
      </c>
    </row>
    <row r="167" spans="1:8" ht="33.75" customHeight="1">
      <c r="A167" s="187" t="s">
        <v>1118</v>
      </c>
      <c r="B167" s="187" t="s">
        <v>1106</v>
      </c>
      <c r="C167" s="187" t="s">
        <v>1119</v>
      </c>
      <c r="D167" s="200"/>
      <c r="E167" s="170" t="s">
        <v>1120</v>
      </c>
      <c r="F167" s="196">
        <f>F168</f>
        <v>37800</v>
      </c>
      <c r="G167" s="196">
        <f>G168</f>
        <v>30000</v>
      </c>
      <c r="H167" s="203">
        <f t="shared" si="5"/>
        <v>79.36507936507937</v>
      </c>
    </row>
    <row r="168" spans="1:8" ht="48" customHeight="1">
      <c r="A168" s="187" t="s">
        <v>1121</v>
      </c>
      <c r="B168" s="187" t="s">
        <v>1106</v>
      </c>
      <c r="C168" s="187" t="s">
        <v>1119</v>
      </c>
      <c r="D168" s="200" t="s">
        <v>882</v>
      </c>
      <c r="E168" s="204" t="s">
        <v>883</v>
      </c>
      <c r="F168" s="224">
        <v>37800</v>
      </c>
      <c r="G168" s="198">
        <v>30000</v>
      </c>
      <c r="H168" s="203">
        <f t="shared" si="5"/>
        <v>79.36507936507937</v>
      </c>
    </row>
    <row r="169" spans="1:8" ht="53.25" customHeight="1">
      <c r="A169" s="187" t="s">
        <v>1122</v>
      </c>
      <c r="B169" s="187" t="s">
        <v>1106</v>
      </c>
      <c r="C169" s="187" t="s">
        <v>1123</v>
      </c>
      <c r="D169" s="200"/>
      <c r="E169" s="204" t="s">
        <v>1124</v>
      </c>
      <c r="F169" s="196">
        <f>F170+F172</f>
        <v>32100</v>
      </c>
      <c r="G169" s="196">
        <f>G170+G172</f>
        <v>18900</v>
      </c>
      <c r="H169" s="203">
        <f t="shared" si="5"/>
        <v>58.87850467289719</v>
      </c>
    </row>
    <row r="170" spans="1:8" ht="48" customHeight="1">
      <c r="A170" s="187" t="s">
        <v>1125</v>
      </c>
      <c r="B170" s="187" t="s">
        <v>1106</v>
      </c>
      <c r="C170" s="187" t="s">
        <v>1126</v>
      </c>
      <c r="D170" s="200"/>
      <c r="E170" s="204" t="s">
        <v>1127</v>
      </c>
      <c r="F170" s="196">
        <f>F171</f>
        <v>18900</v>
      </c>
      <c r="G170" s="196">
        <f>G171</f>
        <v>5700</v>
      </c>
      <c r="H170" s="203">
        <f t="shared" si="5"/>
        <v>30.158730158730158</v>
      </c>
    </row>
    <row r="171" spans="1:8" s="183" customFormat="1" ht="51.75" customHeight="1">
      <c r="A171" s="187" t="s">
        <v>1128</v>
      </c>
      <c r="B171" s="187" t="s">
        <v>1106</v>
      </c>
      <c r="C171" s="187" t="s">
        <v>1126</v>
      </c>
      <c r="D171" s="200" t="s">
        <v>882</v>
      </c>
      <c r="E171" s="204" t="s">
        <v>883</v>
      </c>
      <c r="F171" s="196">
        <v>18900</v>
      </c>
      <c r="G171" s="198">
        <v>5700</v>
      </c>
      <c r="H171" s="203">
        <f t="shared" si="5"/>
        <v>30.158730158730158</v>
      </c>
    </row>
    <row r="172" spans="1:8" s="183" customFormat="1" ht="66.75" customHeight="1">
      <c r="A172" s="187" t="s">
        <v>1129</v>
      </c>
      <c r="B172" s="187" t="s">
        <v>1106</v>
      </c>
      <c r="C172" s="187" t="s">
        <v>1130</v>
      </c>
      <c r="D172" s="200"/>
      <c r="E172" s="204" t="s">
        <v>1131</v>
      </c>
      <c r="F172" s="196">
        <f>F173</f>
        <v>13200</v>
      </c>
      <c r="G172" s="196">
        <f>G173</f>
        <v>13200</v>
      </c>
      <c r="H172" s="203">
        <f t="shared" si="5"/>
        <v>100</v>
      </c>
    </row>
    <row r="173" spans="1:8" s="183" customFormat="1" ht="54" customHeight="1">
      <c r="A173" s="187" t="s">
        <v>1132</v>
      </c>
      <c r="B173" s="187" t="s">
        <v>1106</v>
      </c>
      <c r="C173" s="187" t="s">
        <v>1130</v>
      </c>
      <c r="D173" s="200" t="s">
        <v>882</v>
      </c>
      <c r="E173" s="204" t="s">
        <v>883</v>
      </c>
      <c r="F173" s="196">
        <v>13200</v>
      </c>
      <c r="G173" s="198">
        <v>13200</v>
      </c>
      <c r="H173" s="203">
        <f t="shared" si="5"/>
        <v>100</v>
      </c>
    </row>
    <row r="174" spans="1:8" s="183" customFormat="1" ht="49.5" customHeight="1">
      <c r="A174" s="187" t="s">
        <v>1133</v>
      </c>
      <c r="B174" s="187" t="s">
        <v>1106</v>
      </c>
      <c r="C174" s="187" t="s">
        <v>1134</v>
      </c>
      <c r="D174" s="200"/>
      <c r="E174" s="204" t="s">
        <v>1135</v>
      </c>
      <c r="F174" s="196">
        <f>F175</f>
        <v>59500</v>
      </c>
      <c r="G174" s="196">
        <f>G175</f>
        <v>15000</v>
      </c>
      <c r="H174" s="203">
        <f t="shared" si="5"/>
        <v>25.210084033613445</v>
      </c>
    </row>
    <row r="175" spans="1:8" s="183" customFormat="1" ht="37.5" customHeight="1">
      <c r="A175" s="187" t="s">
        <v>1136</v>
      </c>
      <c r="B175" s="187" t="s">
        <v>1106</v>
      </c>
      <c r="C175" s="187" t="s">
        <v>1137</v>
      </c>
      <c r="D175" s="200"/>
      <c r="E175" s="204" t="s">
        <v>1138</v>
      </c>
      <c r="F175" s="196">
        <f>F176</f>
        <v>59500</v>
      </c>
      <c r="G175" s="196">
        <f>G176</f>
        <v>15000</v>
      </c>
      <c r="H175" s="203">
        <f t="shared" si="5"/>
        <v>25.210084033613445</v>
      </c>
    </row>
    <row r="176" spans="1:8" s="183" customFormat="1" ht="45.75" customHeight="1">
      <c r="A176" s="187" t="s">
        <v>1139</v>
      </c>
      <c r="B176" s="187" t="s">
        <v>1106</v>
      </c>
      <c r="C176" s="187" t="s">
        <v>1137</v>
      </c>
      <c r="D176" s="200" t="s">
        <v>882</v>
      </c>
      <c r="E176" s="204" t="s">
        <v>883</v>
      </c>
      <c r="F176" s="196">
        <f>100000-40500</f>
        <v>59500</v>
      </c>
      <c r="G176" s="198">
        <v>15000</v>
      </c>
      <c r="H176" s="203">
        <f t="shared" si="5"/>
        <v>25.210084033613445</v>
      </c>
    </row>
    <row r="177" spans="1:8" s="183" customFormat="1" ht="54.75" customHeight="1">
      <c r="A177" s="187" t="s">
        <v>1140</v>
      </c>
      <c r="B177" s="187" t="s">
        <v>1106</v>
      </c>
      <c r="C177" s="187" t="s">
        <v>1141</v>
      </c>
      <c r="D177" s="200"/>
      <c r="E177" s="204" t="s">
        <v>1142</v>
      </c>
      <c r="F177" s="196">
        <f>F178+F180</f>
        <v>34900</v>
      </c>
      <c r="G177" s="196">
        <f>G178+G180</f>
        <v>20600</v>
      </c>
      <c r="H177" s="203">
        <f t="shared" si="5"/>
        <v>59.02578796561605</v>
      </c>
    </row>
    <row r="178" spans="1:8" s="195" customFormat="1" ht="55.5" customHeight="1">
      <c r="A178" s="187" t="s">
        <v>1143</v>
      </c>
      <c r="B178" s="187" t="s">
        <v>1106</v>
      </c>
      <c r="C178" s="187" t="s">
        <v>1144</v>
      </c>
      <c r="D178" s="200"/>
      <c r="E178" s="204" t="s">
        <v>1145</v>
      </c>
      <c r="F178" s="196">
        <f>F179</f>
        <v>20500</v>
      </c>
      <c r="G178" s="196">
        <f>G179</f>
        <v>6200</v>
      </c>
      <c r="H178" s="203">
        <f t="shared" si="5"/>
        <v>30.24390243902439</v>
      </c>
    </row>
    <row r="179" spans="1:8" ht="48.75" customHeight="1">
      <c r="A179" s="187" t="s">
        <v>1146</v>
      </c>
      <c r="B179" s="187" t="s">
        <v>1106</v>
      </c>
      <c r="C179" s="187" t="s">
        <v>1144</v>
      </c>
      <c r="D179" s="200" t="s">
        <v>882</v>
      </c>
      <c r="E179" s="204" t="s">
        <v>920</v>
      </c>
      <c r="F179" s="225">
        <v>20500</v>
      </c>
      <c r="G179" s="198">
        <v>6200</v>
      </c>
      <c r="H179" s="203">
        <f t="shared" si="5"/>
        <v>30.24390243902439</v>
      </c>
    </row>
    <row r="180" spans="1:8" ht="64.5" customHeight="1">
      <c r="A180" s="187" t="s">
        <v>1147</v>
      </c>
      <c r="B180" s="187" t="s">
        <v>1106</v>
      </c>
      <c r="C180" s="187" t="s">
        <v>1148</v>
      </c>
      <c r="D180" s="200"/>
      <c r="E180" s="204" t="s">
        <v>1149</v>
      </c>
      <c r="F180" s="225">
        <f>F181</f>
        <v>14400</v>
      </c>
      <c r="G180" s="225">
        <f>G181</f>
        <v>14400</v>
      </c>
      <c r="H180" s="203">
        <f t="shared" si="5"/>
        <v>100</v>
      </c>
    </row>
    <row r="181" spans="1:8" ht="48.75" customHeight="1">
      <c r="A181" s="187" t="s">
        <v>1150</v>
      </c>
      <c r="B181" s="187" t="s">
        <v>1106</v>
      </c>
      <c r="C181" s="187" t="s">
        <v>1148</v>
      </c>
      <c r="D181" s="200" t="s">
        <v>882</v>
      </c>
      <c r="E181" s="204" t="s">
        <v>883</v>
      </c>
      <c r="F181" s="225">
        <v>14400</v>
      </c>
      <c r="G181" s="198">
        <v>14400</v>
      </c>
      <c r="H181" s="203">
        <f t="shared" si="5"/>
        <v>100</v>
      </c>
    </row>
    <row r="182" spans="1:8" s="199" customFormat="1" ht="22.5" customHeight="1">
      <c r="A182" s="187" t="s">
        <v>1151</v>
      </c>
      <c r="B182" s="188" t="s">
        <v>1152</v>
      </c>
      <c r="C182" s="188"/>
      <c r="D182" s="189"/>
      <c r="E182" s="194" t="s">
        <v>1153</v>
      </c>
      <c r="F182" s="191">
        <f>F183+F200</f>
        <v>1988127</v>
      </c>
      <c r="G182" s="191">
        <f>G183+G200</f>
        <v>734245.98</v>
      </c>
      <c r="H182" s="206">
        <f t="shared" si="5"/>
        <v>36.93154310564667</v>
      </c>
    </row>
    <row r="183" spans="1:8" s="199" customFormat="1" ht="63.75" customHeight="1">
      <c r="A183" s="187" t="s">
        <v>1154</v>
      </c>
      <c r="B183" s="187" t="s">
        <v>1152</v>
      </c>
      <c r="C183" s="187" t="s">
        <v>912</v>
      </c>
      <c r="D183" s="200"/>
      <c r="E183" s="170" t="s">
        <v>913</v>
      </c>
      <c r="F183" s="196">
        <f>F184+F191</f>
        <v>1832607</v>
      </c>
      <c r="G183" s="196">
        <f>G184+G191</f>
        <v>679945.98</v>
      </c>
      <c r="H183" s="203">
        <f t="shared" si="5"/>
        <v>37.10266194552351</v>
      </c>
    </row>
    <row r="184" spans="1:8" s="199" customFormat="1" ht="59.25" customHeight="1">
      <c r="A184" s="187" t="s">
        <v>1155</v>
      </c>
      <c r="B184" s="187" t="s">
        <v>1152</v>
      </c>
      <c r="C184" s="187" t="s">
        <v>1156</v>
      </c>
      <c r="D184" s="200"/>
      <c r="E184" s="217" t="s">
        <v>1157</v>
      </c>
      <c r="F184" s="201">
        <f>F185+F187+F189</f>
        <v>247000</v>
      </c>
      <c r="G184" s="201">
        <f>G185+G187+G189</f>
        <v>207866.81</v>
      </c>
      <c r="H184" s="203">
        <f t="shared" si="5"/>
        <v>84.1566032388664</v>
      </c>
    </row>
    <row r="185" spans="1:8" s="199" customFormat="1" ht="50.25" customHeight="1">
      <c r="A185" s="187" t="s">
        <v>1158</v>
      </c>
      <c r="B185" s="187" t="s">
        <v>1152</v>
      </c>
      <c r="C185" s="187" t="s">
        <v>1159</v>
      </c>
      <c r="D185" s="202"/>
      <c r="E185" s="170" t="s">
        <v>1160</v>
      </c>
      <c r="F185" s="196">
        <f>F186</f>
        <v>200000</v>
      </c>
      <c r="G185" s="196">
        <f>G186</f>
        <v>180984.81</v>
      </c>
      <c r="H185" s="203">
        <f t="shared" si="5"/>
        <v>90.49240499999999</v>
      </c>
    </row>
    <row r="186" spans="1:8" s="199" customFormat="1" ht="34.5" customHeight="1">
      <c r="A186" s="187" t="s">
        <v>1161</v>
      </c>
      <c r="B186" s="187" t="s">
        <v>1152</v>
      </c>
      <c r="C186" s="187" t="s">
        <v>1159</v>
      </c>
      <c r="D186" s="200" t="s">
        <v>882</v>
      </c>
      <c r="E186" s="204" t="s">
        <v>920</v>
      </c>
      <c r="F186" s="201">
        <f>200000</f>
        <v>200000</v>
      </c>
      <c r="G186" s="198">
        <v>180984.81</v>
      </c>
      <c r="H186" s="203">
        <f t="shared" si="5"/>
        <v>90.49240499999999</v>
      </c>
    </row>
    <row r="187" spans="1:8" s="195" customFormat="1" ht="53.25" customHeight="1">
      <c r="A187" s="187" t="s">
        <v>1162</v>
      </c>
      <c r="B187" s="187" t="s">
        <v>1152</v>
      </c>
      <c r="C187" s="187" t="s">
        <v>1163</v>
      </c>
      <c r="D187" s="200"/>
      <c r="E187" s="170" t="s">
        <v>1164</v>
      </c>
      <c r="F187" s="196">
        <f>F188</f>
        <v>20000</v>
      </c>
      <c r="G187" s="203">
        <v>0</v>
      </c>
      <c r="H187" s="203">
        <f t="shared" si="5"/>
        <v>0</v>
      </c>
    </row>
    <row r="188" spans="1:8" s="195" customFormat="1" ht="36.75" customHeight="1">
      <c r="A188" s="187" t="s">
        <v>1165</v>
      </c>
      <c r="B188" s="187" t="s">
        <v>1152</v>
      </c>
      <c r="C188" s="187" t="s">
        <v>1163</v>
      </c>
      <c r="D188" s="200" t="s">
        <v>882</v>
      </c>
      <c r="E188" s="204" t="s">
        <v>920</v>
      </c>
      <c r="F188" s="201">
        <f>100000-80000</f>
        <v>20000</v>
      </c>
      <c r="G188" s="203">
        <v>0</v>
      </c>
      <c r="H188" s="203">
        <f t="shared" si="5"/>
        <v>0</v>
      </c>
    </row>
    <row r="189" spans="1:8" s="195" customFormat="1" ht="54.75" customHeight="1">
      <c r="A189" s="187" t="s">
        <v>1166</v>
      </c>
      <c r="B189" s="187" t="s">
        <v>1152</v>
      </c>
      <c r="C189" s="187" t="s">
        <v>1167</v>
      </c>
      <c r="D189" s="200"/>
      <c r="E189" s="170" t="s">
        <v>1168</v>
      </c>
      <c r="F189" s="201">
        <f>F190</f>
        <v>27000</v>
      </c>
      <c r="G189" s="201">
        <f>G190</f>
        <v>26882</v>
      </c>
      <c r="H189" s="203">
        <f t="shared" si="5"/>
        <v>99.56296296296297</v>
      </c>
    </row>
    <row r="190" spans="1:8" s="195" customFormat="1" ht="47.25" customHeight="1">
      <c r="A190" s="187" t="s">
        <v>1169</v>
      </c>
      <c r="B190" s="187" t="s">
        <v>1152</v>
      </c>
      <c r="C190" s="187" t="s">
        <v>1167</v>
      </c>
      <c r="D190" s="200" t="s">
        <v>882</v>
      </c>
      <c r="E190" s="204" t="s">
        <v>920</v>
      </c>
      <c r="F190" s="201">
        <f>100000-73000</f>
        <v>27000</v>
      </c>
      <c r="G190" s="198">
        <v>26882</v>
      </c>
      <c r="H190" s="203">
        <f t="shared" si="5"/>
        <v>99.56296296296297</v>
      </c>
    </row>
    <row r="191" spans="1:8" s="195" customFormat="1" ht="48.75" customHeight="1">
      <c r="A191" s="187" t="s">
        <v>1170</v>
      </c>
      <c r="B191" s="187" t="s">
        <v>1152</v>
      </c>
      <c r="C191" s="187" t="s">
        <v>1171</v>
      </c>
      <c r="D191" s="200"/>
      <c r="E191" s="204" t="s">
        <v>1172</v>
      </c>
      <c r="F191" s="201">
        <f>F192+F194+F196+F198</f>
        <v>1585607</v>
      </c>
      <c r="G191" s="201">
        <f>G192+G194+G196+G198</f>
        <v>472079.17</v>
      </c>
      <c r="H191" s="203">
        <f t="shared" si="5"/>
        <v>29.77277282453975</v>
      </c>
    </row>
    <row r="192" spans="1:8" s="195" customFormat="1" ht="25.5" customHeight="1">
      <c r="A192" s="187" t="s">
        <v>1173</v>
      </c>
      <c r="B192" s="187" t="s">
        <v>1152</v>
      </c>
      <c r="C192" s="187" t="s">
        <v>1174</v>
      </c>
      <c r="D192" s="200"/>
      <c r="E192" s="204" t="s">
        <v>1175</v>
      </c>
      <c r="F192" s="201">
        <f>F193</f>
        <v>980707</v>
      </c>
      <c r="G192" s="201">
        <f>G193</f>
        <v>356579.17</v>
      </c>
      <c r="H192" s="203">
        <f t="shared" si="5"/>
        <v>36.35939888264282</v>
      </c>
    </row>
    <row r="193" spans="1:8" s="195" customFormat="1" ht="51" customHeight="1">
      <c r="A193" s="187" t="s">
        <v>1176</v>
      </c>
      <c r="B193" s="187" t="s">
        <v>1152</v>
      </c>
      <c r="C193" s="187" t="s">
        <v>1174</v>
      </c>
      <c r="D193" s="200" t="s">
        <v>882</v>
      </c>
      <c r="E193" s="204" t="s">
        <v>883</v>
      </c>
      <c r="F193" s="201">
        <f>1800000-187010-564990-67293</f>
        <v>980707</v>
      </c>
      <c r="G193" s="198">
        <v>356579.17</v>
      </c>
      <c r="H193" s="203">
        <f t="shared" si="5"/>
        <v>36.35939888264282</v>
      </c>
    </row>
    <row r="194" spans="1:8" s="195" customFormat="1" ht="49.5" customHeight="1">
      <c r="A194" s="187" t="s">
        <v>1177</v>
      </c>
      <c r="B194" s="187" t="s">
        <v>1152</v>
      </c>
      <c r="C194" s="187" t="s">
        <v>1178</v>
      </c>
      <c r="D194" s="200"/>
      <c r="E194" s="204" t="s">
        <v>1179</v>
      </c>
      <c r="F194" s="201">
        <f>F195</f>
        <v>115500</v>
      </c>
      <c r="G194" s="201">
        <f>G195</f>
        <v>115500</v>
      </c>
      <c r="H194" s="203">
        <f t="shared" si="5"/>
        <v>100</v>
      </c>
    </row>
    <row r="195" spans="1:8" s="195" customFormat="1" ht="62.25" customHeight="1">
      <c r="A195" s="187" t="s">
        <v>1180</v>
      </c>
      <c r="B195" s="187" t="s">
        <v>1152</v>
      </c>
      <c r="C195" s="187" t="s">
        <v>1178</v>
      </c>
      <c r="D195" s="200" t="s">
        <v>882</v>
      </c>
      <c r="E195" s="204" t="s">
        <v>883</v>
      </c>
      <c r="F195" s="201">
        <f>75000+40500</f>
        <v>115500</v>
      </c>
      <c r="G195" s="198">
        <v>115500</v>
      </c>
      <c r="H195" s="203">
        <f t="shared" si="5"/>
        <v>100</v>
      </c>
    </row>
    <row r="196" spans="1:8" s="195" customFormat="1" ht="52.5" customHeight="1">
      <c r="A196" s="187" t="s">
        <v>1181</v>
      </c>
      <c r="B196" s="187" t="s">
        <v>1152</v>
      </c>
      <c r="C196" s="187" t="s">
        <v>1182</v>
      </c>
      <c r="D196" s="200"/>
      <c r="E196" s="204" t="s">
        <v>1183</v>
      </c>
      <c r="F196" s="201">
        <f>F197</f>
        <v>146400</v>
      </c>
      <c r="G196" s="203">
        <v>0</v>
      </c>
      <c r="H196" s="203">
        <f t="shared" si="5"/>
        <v>0</v>
      </c>
    </row>
    <row r="197" spans="1:8" s="195" customFormat="1" ht="40.5" customHeight="1">
      <c r="A197" s="187" t="s">
        <v>1184</v>
      </c>
      <c r="B197" s="187" t="s">
        <v>1152</v>
      </c>
      <c r="C197" s="187" t="s">
        <v>1182</v>
      </c>
      <c r="D197" s="200" t="s">
        <v>882</v>
      </c>
      <c r="E197" s="204" t="s">
        <v>883</v>
      </c>
      <c r="F197" s="201">
        <f>240000-93600</f>
        <v>146400</v>
      </c>
      <c r="G197" s="203">
        <v>0</v>
      </c>
      <c r="H197" s="203">
        <f t="shared" si="5"/>
        <v>0</v>
      </c>
    </row>
    <row r="198" spans="1:8" s="195" customFormat="1" ht="29.25" customHeight="1">
      <c r="A198" s="187" t="s">
        <v>1185</v>
      </c>
      <c r="B198" s="187" t="s">
        <v>1152</v>
      </c>
      <c r="C198" s="187" t="s">
        <v>1186</v>
      </c>
      <c r="D198" s="200"/>
      <c r="E198" s="204" t="s">
        <v>893</v>
      </c>
      <c r="F198" s="201">
        <f>F199</f>
        <v>343000</v>
      </c>
      <c r="G198" s="203">
        <v>0</v>
      </c>
      <c r="H198" s="203">
        <f t="shared" si="5"/>
        <v>0</v>
      </c>
    </row>
    <row r="199" spans="1:8" s="195" customFormat="1" ht="37.5" customHeight="1">
      <c r="A199" s="187" t="s">
        <v>1187</v>
      </c>
      <c r="B199" s="187" t="s">
        <v>1152</v>
      </c>
      <c r="C199" s="187" t="s">
        <v>1186</v>
      </c>
      <c r="D199" s="200" t="s">
        <v>882</v>
      </c>
      <c r="E199" s="204" t="s">
        <v>883</v>
      </c>
      <c r="F199" s="201">
        <f>190000+153000</f>
        <v>343000</v>
      </c>
      <c r="G199" s="203">
        <v>0</v>
      </c>
      <c r="H199" s="203">
        <f aca="true" t="shared" si="6" ref="H199:H262">G199/F199*100</f>
        <v>0</v>
      </c>
    </row>
    <row r="200" spans="1:8" s="195" customFormat="1" ht="101.25" customHeight="1">
      <c r="A200" s="187" t="s">
        <v>1188</v>
      </c>
      <c r="B200" s="187" t="s">
        <v>1152</v>
      </c>
      <c r="C200" s="187" t="s">
        <v>1024</v>
      </c>
      <c r="D200" s="200"/>
      <c r="E200" s="170" t="s">
        <v>1189</v>
      </c>
      <c r="F200" s="201">
        <f>F201+F203</f>
        <v>155520</v>
      </c>
      <c r="G200" s="201">
        <f>G201+G203</f>
        <v>54300</v>
      </c>
      <c r="H200" s="203">
        <f t="shared" si="6"/>
        <v>34.91512345679013</v>
      </c>
    </row>
    <row r="201" spans="1:8" s="195" customFormat="1" ht="69.75" customHeight="1">
      <c r="A201" s="187" t="s">
        <v>1190</v>
      </c>
      <c r="B201" s="187" t="s">
        <v>1152</v>
      </c>
      <c r="C201" s="187" t="s">
        <v>1191</v>
      </c>
      <c r="D201" s="200"/>
      <c r="E201" s="226" t="s">
        <v>1192</v>
      </c>
      <c r="F201" s="201">
        <f>F202</f>
        <v>105520</v>
      </c>
      <c r="G201" s="201">
        <f>G202</f>
        <v>5700</v>
      </c>
      <c r="H201" s="203">
        <f t="shared" si="6"/>
        <v>5.401819560272934</v>
      </c>
    </row>
    <row r="202" spans="1:8" s="195" customFormat="1" ht="77.25" customHeight="1">
      <c r="A202" s="187" t="s">
        <v>1193</v>
      </c>
      <c r="B202" s="187" t="s">
        <v>1152</v>
      </c>
      <c r="C202" s="187" t="s">
        <v>1191</v>
      </c>
      <c r="D202" s="200" t="s">
        <v>1029</v>
      </c>
      <c r="E202" s="204" t="s">
        <v>1030</v>
      </c>
      <c r="F202" s="201">
        <v>105520</v>
      </c>
      <c r="G202" s="203">
        <v>5700</v>
      </c>
      <c r="H202" s="203">
        <f t="shared" si="6"/>
        <v>5.401819560272934</v>
      </c>
    </row>
    <row r="203" spans="1:8" s="195" customFormat="1" ht="49.5" customHeight="1">
      <c r="A203" s="187" t="s">
        <v>1194</v>
      </c>
      <c r="B203" s="187" t="s">
        <v>1152</v>
      </c>
      <c r="C203" s="187" t="s">
        <v>1195</v>
      </c>
      <c r="D203" s="200"/>
      <c r="E203" s="204" t="s">
        <v>1196</v>
      </c>
      <c r="F203" s="201">
        <f>F204</f>
        <v>50000</v>
      </c>
      <c r="G203" s="201">
        <f>G204</f>
        <v>48600</v>
      </c>
      <c r="H203" s="203">
        <f t="shared" si="6"/>
        <v>97.2</v>
      </c>
    </row>
    <row r="204" spans="1:8" s="195" customFormat="1" ht="58.5" customHeight="1">
      <c r="A204" s="187" t="s">
        <v>1197</v>
      </c>
      <c r="B204" s="187" t="s">
        <v>1152</v>
      </c>
      <c r="C204" s="187" t="s">
        <v>1195</v>
      </c>
      <c r="D204" s="200" t="s">
        <v>882</v>
      </c>
      <c r="E204" s="204" t="s">
        <v>883</v>
      </c>
      <c r="F204" s="201">
        <v>50000</v>
      </c>
      <c r="G204" s="198">
        <v>48600</v>
      </c>
      <c r="H204" s="203">
        <f t="shared" si="6"/>
        <v>97.2</v>
      </c>
    </row>
    <row r="205" spans="1:8" ht="24.75" customHeight="1">
      <c r="A205" s="187" t="s">
        <v>1198</v>
      </c>
      <c r="B205" s="188" t="s">
        <v>1199</v>
      </c>
      <c r="C205" s="188"/>
      <c r="D205" s="189"/>
      <c r="E205" s="194" t="s">
        <v>1200</v>
      </c>
      <c r="F205" s="191">
        <f>F206+F213+F233+F264</f>
        <v>72061566</v>
      </c>
      <c r="G205" s="191">
        <f>G206+G213+G233+G264</f>
        <v>23231164.930000003</v>
      </c>
      <c r="H205" s="206">
        <f t="shared" si="6"/>
        <v>32.23794072141036</v>
      </c>
    </row>
    <row r="206" spans="1:8" ht="15.75">
      <c r="A206" s="187" t="s">
        <v>1201</v>
      </c>
      <c r="B206" s="188" t="s">
        <v>1202</v>
      </c>
      <c r="C206" s="188"/>
      <c r="D206" s="189"/>
      <c r="E206" s="194" t="s">
        <v>1203</v>
      </c>
      <c r="F206" s="191">
        <f>F207</f>
        <v>5222139</v>
      </c>
      <c r="G206" s="191">
        <f>G207</f>
        <v>440549</v>
      </c>
      <c r="H206" s="206">
        <f t="shared" si="6"/>
        <v>8.436179121237487</v>
      </c>
    </row>
    <row r="207" spans="1:8" ht="93" customHeight="1">
      <c r="A207" s="187" t="s">
        <v>1204</v>
      </c>
      <c r="B207" s="187" t="s">
        <v>1202</v>
      </c>
      <c r="C207" s="187" t="s">
        <v>1205</v>
      </c>
      <c r="D207" s="200"/>
      <c r="E207" s="170" t="s">
        <v>1206</v>
      </c>
      <c r="F207" s="196">
        <f>F208</f>
        <v>5222139</v>
      </c>
      <c r="G207" s="196">
        <f>G208</f>
        <v>440549</v>
      </c>
      <c r="H207" s="203">
        <f t="shared" si="6"/>
        <v>8.436179121237487</v>
      </c>
    </row>
    <row r="208" spans="1:8" ht="47.25">
      <c r="A208" s="187" t="s">
        <v>1207</v>
      </c>
      <c r="B208" s="187" t="s">
        <v>1202</v>
      </c>
      <c r="C208" s="187" t="s">
        <v>1208</v>
      </c>
      <c r="D208" s="200"/>
      <c r="E208" s="170" t="s">
        <v>1209</v>
      </c>
      <c r="F208" s="201">
        <f>F209+F211</f>
        <v>5222139</v>
      </c>
      <c r="G208" s="201">
        <f>G209+G211</f>
        <v>440549</v>
      </c>
      <c r="H208" s="203">
        <f t="shared" si="6"/>
        <v>8.436179121237487</v>
      </c>
    </row>
    <row r="209" spans="1:8" ht="53.25" customHeight="1">
      <c r="A209" s="187" t="s">
        <v>1210</v>
      </c>
      <c r="B209" s="187" t="s">
        <v>1202</v>
      </c>
      <c r="C209" s="187" t="s">
        <v>1211</v>
      </c>
      <c r="D209" s="200"/>
      <c r="E209" s="170" t="s">
        <v>1212</v>
      </c>
      <c r="F209" s="201">
        <f>F210</f>
        <v>4758600</v>
      </c>
      <c r="G209" s="201">
        <f>G210</f>
        <v>0</v>
      </c>
      <c r="H209" s="203">
        <f t="shared" si="6"/>
        <v>0</v>
      </c>
    </row>
    <row r="210" spans="1:8" ht="26.25" customHeight="1">
      <c r="A210" s="187" t="s">
        <v>1213</v>
      </c>
      <c r="B210" s="187" t="s">
        <v>1202</v>
      </c>
      <c r="C210" s="187" t="s">
        <v>1211</v>
      </c>
      <c r="D210" s="200" t="s">
        <v>891</v>
      </c>
      <c r="E210" s="204" t="s">
        <v>1214</v>
      </c>
      <c r="F210" s="201">
        <v>4758600</v>
      </c>
      <c r="G210" s="198">
        <v>0</v>
      </c>
      <c r="H210" s="203">
        <f t="shared" si="6"/>
        <v>0</v>
      </c>
    </row>
    <row r="211" spans="1:8" ht="21.75" customHeight="1">
      <c r="A211" s="187" t="s">
        <v>1215</v>
      </c>
      <c r="B211" s="187" t="s">
        <v>1202</v>
      </c>
      <c r="C211" s="187" t="s">
        <v>1216</v>
      </c>
      <c r="D211" s="200"/>
      <c r="E211" s="204" t="s">
        <v>893</v>
      </c>
      <c r="F211" s="201">
        <f>F212</f>
        <v>463539</v>
      </c>
      <c r="G211" s="201">
        <f>G212</f>
        <v>440549</v>
      </c>
      <c r="H211" s="203">
        <f t="shared" si="6"/>
        <v>95.0403310185335</v>
      </c>
    </row>
    <row r="212" spans="1:8" ht="33" customHeight="1">
      <c r="A212" s="187" t="s">
        <v>1217</v>
      </c>
      <c r="B212" s="187" t="s">
        <v>1202</v>
      </c>
      <c r="C212" s="187" t="s">
        <v>1216</v>
      </c>
      <c r="D212" s="200" t="s">
        <v>882</v>
      </c>
      <c r="E212" s="204" t="s">
        <v>920</v>
      </c>
      <c r="F212" s="201">
        <f>440549+22990</f>
        <v>463539</v>
      </c>
      <c r="G212" s="198">
        <v>440549</v>
      </c>
      <c r="H212" s="203">
        <f t="shared" si="6"/>
        <v>95.0403310185335</v>
      </c>
    </row>
    <row r="213" spans="1:8" ht="15.75">
      <c r="A213" s="187" t="s">
        <v>1218</v>
      </c>
      <c r="B213" s="188" t="s">
        <v>1219</v>
      </c>
      <c r="C213" s="188"/>
      <c r="D213" s="189"/>
      <c r="E213" s="194" t="s">
        <v>1220</v>
      </c>
      <c r="F213" s="191">
        <f>F214</f>
        <v>52259268</v>
      </c>
      <c r="G213" s="191">
        <f>G214</f>
        <v>11448172.99</v>
      </c>
      <c r="H213" s="206">
        <f t="shared" si="6"/>
        <v>21.906493198488736</v>
      </c>
    </row>
    <row r="214" spans="1:8" ht="63" customHeight="1">
      <c r="A214" s="187" t="s">
        <v>1221</v>
      </c>
      <c r="B214" s="187" t="s">
        <v>1219</v>
      </c>
      <c r="C214" s="187" t="s">
        <v>1205</v>
      </c>
      <c r="D214" s="189"/>
      <c r="E214" s="170" t="s">
        <v>1206</v>
      </c>
      <c r="F214" s="196">
        <f>F218+F215+F228</f>
        <v>52259268</v>
      </c>
      <c r="G214" s="196">
        <f>G218+G215+G228</f>
        <v>11448172.99</v>
      </c>
      <c r="H214" s="203">
        <f t="shared" si="6"/>
        <v>21.906493198488736</v>
      </c>
    </row>
    <row r="215" spans="1:8" ht="47.25" customHeight="1">
      <c r="A215" s="187" t="s">
        <v>1222</v>
      </c>
      <c r="B215" s="187" t="s">
        <v>1219</v>
      </c>
      <c r="C215" s="187" t="s">
        <v>1223</v>
      </c>
      <c r="D215" s="200"/>
      <c r="E215" s="170" t="s">
        <v>1224</v>
      </c>
      <c r="F215" s="201">
        <f>F216</f>
        <v>898285</v>
      </c>
      <c r="G215" s="201">
        <f>G216</f>
        <v>898284.96</v>
      </c>
      <c r="H215" s="203">
        <f t="shared" si="6"/>
        <v>99.99999554707024</v>
      </c>
    </row>
    <row r="216" spans="1:8" ht="40.5" customHeight="1">
      <c r="A216" s="187" t="s">
        <v>1225</v>
      </c>
      <c r="B216" s="187" t="s">
        <v>1219</v>
      </c>
      <c r="C216" s="187" t="s">
        <v>1226</v>
      </c>
      <c r="D216" s="200"/>
      <c r="E216" s="204" t="s">
        <v>893</v>
      </c>
      <c r="F216" s="201">
        <f>F217</f>
        <v>898285</v>
      </c>
      <c r="G216" s="201">
        <f>G217</f>
        <v>898284.96</v>
      </c>
      <c r="H216" s="203">
        <f t="shared" si="6"/>
        <v>99.99999554707024</v>
      </c>
    </row>
    <row r="217" spans="1:8" ht="49.5" customHeight="1">
      <c r="A217" s="187" t="s">
        <v>1227</v>
      </c>
      <c r="B217" s="187" t="s">
        <v>1219</v>
      </c>
      <c r="C217" s="187" t="s">
        <v>1226</v>
      </c>
      <c r="D217" s="200" t="s">
        <v>882</v>
      </c>
      <c r="E217" s="204" t="s">
        <v>883</v>
      </c>
      <c r="F217" s="201">
        <v>898285</v>
      </c>
      <c r="G217" s="198">
        <v>898284.96</v>
      </c>
      <c r="H217" s="203">
        <f t="shared" si="6"/>
        <v>99.99999554707024</v>
      </c>
    </row>
    <row r="218" spans="1:8" s="195" customFormat="1" ht="48.75" customHeight="1">
      <c r="A218" s="187" t="s">
        <v>1228</v>
      </c>
      <c r="B218" s="187" t="s">
        <v>1219</v>
      </c>
      <c r="C218" s="187" t="s">
        <v>1229</v>
      </c>
      <c r="D218" s="200"/>
      <c r="E218" s="204" t="s">
        <v>1230</v>
      </c>
      <c r="F218" s="196">
        <f>+F219+F221+F223+F225</f>
        <v>1360983</v>
      </c>
      <c r="G218" s="196">
        <f>+G219+G221+G223+G225</f>
        <v>534026.03</v>
      </c>
      <c r="H218" s="203">
        <f t="shared" si="6"/>
        <v>39.23825867038751</v>
      </c>
    </row>
    <row r="219" spans="1:8" s="195" customFormat="1" ht="51" customHeight="1">
      <c r="A219" s="187" t="s">
        <v>1231</v>
      </c>
      <c r="B219" s="187" t="s">
        <v>1219</v>
      </c>
      <c r="C219" s="187" t="s">
        <v>1232</v>
      </c>
      <c r="D219" s="200"/>
      <c r="E219" s="170" t="s">
        <v>1233</v>
      </c>
      <c r="F219" s="224">
        <f>F220</f>
        <v>146127</v>
      </c>
      <c r="G219" s="224">
        <f>G220</f>
        <v>63294</v>
      </c>
      <c r="H219" s="203">
        <f t="shared" si="6"/>
        <v>43.31437721981564</v>
      </c>
    </row>
    <row r="220" spans="1:8" s="195" customFormat="1" ht="58.5" customHeight="1">
      <c r="A220" s="187" t="s">
        <v>1234</v>
      </c>
      <c r="B220" s="187" t="s">
        <v>1219</v>
      </c>
      <c r="C220" s="187" t="s">
        <v>1232</v>
      </c>
      <c r="D220" s="200" t="s">
        <v>882</v>
      </c>
      <c r="E220" s="204" t="s">
        <v>883</v>
      </c>
      <c r="F220" s="224">
        <f>179860-21993-11740</f>
        <v>146127</v>
      </c>
      <c r="G220" s="198">
        <v>63294</v>
      </c>
      <c r="H220" s="203">
        <f t="shared" si="6"/>
        <v>43.31437721981564</v>
      </c>
    </row>
    <row r="221" spans="1:8" s="195" customFormat="1" ht="54" customHeight="1">
      <c r="A221" s="187" t="s">
        <v>1235</v>
      </c>
      <c r="B221" s="187" t="s">
        <v>1219</v>
      </c>
      <c r="C221" s="187" t="s">
        <v>1236</v>
      </c>
      <c r="D221" s="200"/>
      <c r="E221" s="204" t="s">
        <v>1237</v>
      </c>
      <c r="F221" s="224">
        <f>F222</f>
        <v>253000</v>
      </c>
      <c r="G221" s="198">
        <v>0</v>
      </c>
      <c r="H221" s="203">
        <f t="shared" si="6"/>
        <v>0</v>
      </c>
    </row>
    <row r="222" spans="1:8" s="195" customFormat="1" ht="65.25" customHeight="1">
      <c r="A222" s="187" t="s">
        <v>1238</v>
      </c>
      <c r="B222" s="187" t="s">
        <v>1219</v>
      </c>
      <c r="C222" s="187" t="s">
        <v>1236</v>
      </c>
      <c r="D222" s="200" t="s">
        <v>1029</v>
      </c>
      <c r="E222" s="204" t="s">
        <v>1030</v>
      </c>
      <c r="F222" s="224">
        <f>1000000-600000-147000</f>
        <v>253000</v>
      </c>
      <c r="G222" s="198">
        <v>0</v>
      </c>
      <c r="H222" s="203">
        <f t="shared" si="6"/>
        <v>0</v>
      </c>
    </row>
    <row r="223" spans="1:8" s="195" customFormat="1" ht="83.25" customHeight="1">
      <c r="A223" s="187" t="s">
        <v>1239</v>
      </c>
      <c r="B223" s="187" t="s">
        <v>1219</v>
      </c>
      <c r="C223" s="187" t="s">
        <v>1240</v>
      </c>
      <c r="D223" s="200"/>
      <c r="E223" s="204" t="s">
        <v>1241</v>
      </c>
      <c r="F223" s="224">
        <f>F224</f>
        <v>491123</v>
      </c>
      <c r="G223" s="198">
        <v>0</v>
      </c>
      <c r="H223" s="203">
        <f t="shared" si="6"/>
        <v>0</v>
      </c>
    </row>
    <row r="224" spans="1:8" s="195" customFormat="1" ht="64.5" customHeight="1">
      <c r="A224" s="187" t="s">
        <v>1242</v>
      </c>
      <c r="B224" s="187" t="s">
        <v>1219</v>
      </c>
      <c r="C224" s="187" t="s">
        <v>1240</v>
      </c>
      <c r="D224" s="200" t="s">
        <v>1029</v>
      </c>
      <c r="E224" s="204" t="s">
        <v>1030</v>
      </c>
      <c r="F224" s="224">
        <v>491123</v>
      </c>
      <c r="G224" s="198">
        <v>0</v>
      </c>
      <c r="H224" s="203">
        <f t="shared" si="6"/>
        <v>0</v>
      </c>
    </row>
    <row r="225" spans="1:8" s="195" customFormat="1" ht="18.75" customHeight="1">
      <c r="A225" s="187" t="s">
        <v>1243</v>
      </c>
      <c r="B225" s="187" t="s">
        <v>1219</v>
      </c>
      <c r="C225" s="187" t="s">
        <v>1244</v>
      </c>
      <c r="D225" s="200"/>
      <c r="E225" s="204" t="s">
        <v>893</v>
      </c>
      <c r="F225" s="224">
        <f>F226+F227</f>
        <v>470733</v>
      </c>
      <c r="G225" s="224">
        <f>G226+G227</f>
        <v>470732.03</v>
      </c>
      <c r="H225" s="203">
        <f t="shared" si="6"/>
        <v>99.99979393838971</v>
      </c>
    </row>
    <row r="226" spans="1:8" s="195" customFormat="1" ht="52.5" customHeight="1">
      <c r="A226" s="187" t="s">
        <v>1245</v>
      </c>
      <c r="B226" s="187" t="s">
        <v>1219</v>
      </c>
      <c r="C226" s="187" t="s">
        <v>1244</v>
      </c>
      <c r="D226" s="200" t="s">
        <v>882</v>
      </c>
      <c r="E226" s="204" t="s">
        <v>883</v>
      </c>
      <c r="F226" s="224">
        <f>437000+21993</f>
        <v>458993</v>
      </c>
      <c r="G226" s="198">
        <v>458992.03</v>
      </c>
      <c r="H226" s="203">
        <f t="shared" si="6"/>
        <v>99.99978866780104</v>
      </c>
    </row>
    <row r="227" spans="1:8" s="195" customFormat="1" ht="24.75" customHeight="1">
      <c r="A227" s="187" t="s">
        <v>1246</v>
      </c>
      <c r="B227" s="187" t="s">
        <v>1219</v>
      </c>
      <c r="C227" s="187" t="s">
        <v>1244</v>
      </c>
      <c r="D227" s="200" t="s">
        <v>889</v>
      </c>
      <c r="E227" s="204" t="s">
        <v>890</v>
      </c>
      <c r="F227" s="224">
        <v>11740</v>
      </c>
      <c r="G227" s="224">
        <v>11740</v>
      </c>
      <c r="H227" s="203">
        <f t="shared" si="6"/>
        <v>100</v>
      </c>
    </row>
    <row r="228" spans="1:8" s="195" customFormat="1" ht="64.5" customHeight="1">
      <c r="A228" s="187" t="s">
        <v>1247</v>
      </c>
      <c r="B228" s="187" t="s">
        <v>1219</v>
      </c>
      <c r="C228" s="187" t="s">
        <v>1248</v>
      </c>
      <c r="D228" s="227"/>
      <c r="E228" s="204" t="s">
        <v>1249</v>
      </c>
      <c r="F228" s="224">
        <f>F229+F231</f>
        <v>50000000</v>
      </c>
      <c r="G228" s="224">
        <f>G229+G231</f>
        <v>10015862</v>
      </c>
      <c r="H228" s="203">
        <f t="shared" si="6"/>
        <v>20.031724</v>
      </c>
    </row>
    <row r="229" spans="1:8" s="195" customFormat="1" ht="21.75" customHeight="1">
      <c r="A229" s="187" t="s">
        <v>1250</v>
      </c>
      <c r="B229" s="187" t="s">
        <v>1219</v>
      </c>
      <c r="C229" s="200" t="s">
        <v>1251</v>
      </c>
      <c r="D229" s="228"/>
      <c r="E229" s="229" t="s">
        <v>1252</v>
      </c>
      <c r="F229" s="201">
        <f>F230</f>
        <v>9646746</v>
      </c>
      <c r="G229" s="201">
        <f>G230</f>
        <v>9603863.44</v>
      </c>
      <c r="H229" s="203">
        <f t="shared" si="6"/>
        <v>99.5554712438785</v>
      </c>
    </row>
    <row r="230" spans="1:8" s="195" customFormat="1" ht="38.25" customHeight="1">
      <c r="A230" s="187" t="s">
        <v>1253</v>
      </c>
      <c r="B230" s="187" t="s">
        <v>1219</v>
      </c>
      <c r="C230" s="187" t="s">
        <v>1251</v>
      </c>
      <c r="D230" s="230" t="s">
        <v>882</v>
      </c>
      <c r="E230" s="204" t="s">
        <v>920</v>
      </c>
      <c r="F230" s="201">
        <f>6860000+960000+1826746</f>
        <v>9646746</v>
      </c>
      <c r="G230" s="198">
        <v>9603863.44</v>
      </c>
      <c r="H230" s="203">
        <f t="shared" si="6"/>
        <v>99.5554712438785</v>
      </c>
    </row>
    <row r="231" spans="1:8" s="195" customFormat="1" ht="51" customHeight="1">
      <c r="A231" s="187" t="s">
        <v>1254</v>
      </c>
      <c r="B231" s="187" t="s">
        <v>1219</v>
      </c>
      <c r="C231" s="187" t="s">
        <v>1255</v>
      </c>
      <c r="D231" s="200"/>
      <c r="E231" s="170" t="s">
        <v>1256</v>
      </c>
      <c r="F231" s="196">
        <f>F232</f>
        <v>40353254</v>
      </c>
      <c r="G231" s="196">
        <f>G232</f>
        <v>411998.56</v>
      </c>
      <c r="H231" s="203">
        <f t="shared" si="6"/>
        <v>1.0209797703055123</v>
      </c>
    </row>
    <row r="232" spans="1:8" s="195" customFormat="1" ht="38.25" customHeight="1">
      <c r="A232" s="187" t="s">
        <v>1257</v>
      </c>
      <c r="B232" s="187" t="s">
        <v>1219</v>
      </c>
      <c r="C232" s="187" t="s">
        <v>1255</v>
      </c>
      <c r="D232" s="200" t="s">
        <v>882</v>
      </c>
      <c r="E232" s="204" t="s">
        <v>920</v>
      </c>
      <c r="F232" s="196">
        <f>43140000-960000-1826746</f>
        <v>40353254</v>
      </c>
      <c r="G232" s="198">
        <v>411998.56</v>
      </c>
      <c r="H232" s="203">
        <f t="shared" si="6"/>
        <v>1.0209797703055123</v>
      </c>
    </row>
    <row r="233" spans="1:8" s="195" customFormat="1" ht="23.25" customHeight="1">
      <c r="A233" s="187" t="s">
        <v>1258</v>
      </c>
      <c r="B233" s="188" t="s">
        <v>1259</v>
      </c>
      <c r="C233" s="188"/>
      <c r="D233" s="189"/>
      <c r="E233" s="194" t="s">
        <v>1260</v>
      </c>
      <c r="F233" s="191">
        <f>F234</f>
        <v>13732657</v>
      </c>
      <c r="G233" s="191">
        <f>G234</f>
        <v>10506202.530000001</v>
      </c>
      <c r="H233" s="206">
        <f t="shared" si="6"/>
        <v>76.50524243050708</v>
      </c>
    </row>
    <row r="234" spans="1:8" s="195" customFormat="1" ht="51" customHeight="1">
      <c r="A234" s="187" t="s">
        <v>1261</v>
      </c>
      <c r="B234" s="187" t="s">
        <v>1259</v>
      </c>
      <c r="C234" s="187" t="s">
        <v>1205</v>
      </c>
      <c r="D234" s="200"/>
      <c r="E234" s="170" t="s">
        <v>1206</v>
      </c>
      <c r="F234" s="196">
        <f>F235+F254</f>
        <v>13732657</v>
      </c>
      <c r="G234" s="196">
        <f>G235+G254</f>
        <v>10506202.530000001</v>
      </c>
      <c r="H234" s="203">
        <f t="shared" si="6"/>
        <v>76.50524243050708</v>
      </c>
    </row>
    <row r="235" spans="1:8" ht="44.25" customHeight="1">
      <c r="A235" s="187" t="s">
        <v>1262</v>
      </c>
      <c r="B235" s="187" t="s">
        <v>1259</v>
      </c>
      <c r="C235" s="187" t="s">
        <v>1263</v>
      </c>
      <c r="D235" s="200"/>
      <c r="E235" s="170" t="s">
        <v>1264</v>
      </c>
      <c r="F235" s="201">
        <f>F236+F238+F240+F242+F244+F246+F248+F250</f>
        <v>8022833</v>
      </c>
      <c r="G235" s="201">
        <f>G236+G238+G240+G242+G244+G246+G248+G250</f>
        <v>7151540.7</v>
      </c>
      <c r="H235" s="203">
        <f t="shared" si="6"/>
        <v>89.13984249703316</v>
      </c>
    </row>
    <row r="236" spans="1:8" ht="34.5" customHeight="1">
      <c r="A236" s="187" t="s">
        <v>1265</v>
      </c>
      <c r="B236" s="187" t="s">
        <v>1259</v>
      </c>
      <c r="C236" s="187" t="s">
        <v>1266</v>
      </c>
      <c r="D236" s="200"/>
      <c r="E236" s="170" t="s">
        <v>1267</v>
      </c>
      <c r="F236" s="201">
        <f>F237</f>
        <v>2468039</v>
      </c>
      <c r="G236" s="201">
        <f>G237</f>
        <v>2082592.78</v>
      </c>
      <c r="H236" s="203">
        <f t="shared" si="6"/>
        <v>84.38249071428774</v>
      </c>
    </row>
    <row r="237" spans="1:8" ht="59.25" customHeight="1">
      <c r="A237" s="187" t="s">
        <v>1268</v>
      </c>
      <c r="B237" s="187" t="s">
        <v>1259</v>
      </c>
      <c r="C237" s="187" t="s">
        <v>1266</v>
      </c>
      <c r="D237" s="200" t="s">
        <v>882</v>
      </c>
      <c r="E237" s="204" t="s">
        <v>883</v>
      </c>
      <c r="F237" s="201">
        <f>2100000-30961+300000+99000</f>
        <v>2468039</v>
      </c>
      <c r="G237" s="198">
        <v>2082592.78</v>
      </c>
      <c r="H237" s="203">
        <f t="shared" si="6"/>
        <v>84.38249071428774</v>
      </c>
    </row>
    <row r="238" spans="1:8" ht="39" customHeight="1">
      <c r="A238" s="187" t="s">
        <v>1269</v>
      </c>
      <c r="B238" s="187" t="s">
        <v>1259</v>
      </c>
      <c r="C238" s="187" t="s">
        <v>1270</v>
      </c>
      <c r="D238" s="200"/>
      <c r="E238" s="170" t="s">
        <v>1271</v>
      </c>
      <c r="F238" s="201">
        <f>F239</f>
        <v>1500000</v>
      </c>
      <c r="G238" s="201">
        <f>G239</f>
        <v>1500000</v>
      </c>
      <c r="H238" s="203">
        <f t="shared" si="6"/>
        <v>100</v>
      </c>
    </row>
    <row r="239" spans="1:8" ht="57.75" customHeight="1">
      <c r="A239" s="187" t="s">
        <v>1272</v>
      </c>
      <c r="B239" s="187" t="s">
        <v>1259</v>
      </c>
      <c r="C239" s="187" t="s">
        <v>1270</v>
      </c>
      <c r="D239" s="200" t="s">
        <v>882</v>
      </c>
      <c r="E239" s="204" t="s">
        <v>883</v>
      </c>
      <c r="F239" s="201">
        <f>2825000-155161-927606-86399-155834</f>
        <v>1500000</v>
      </c>
      <c r="G239" s="198">
        <v>1500000</v>
      </c>
      <c r="H239" s="203">
        <f t="shared" si="6"/>
        <v>100</v>
      </c>
    </row>
    <row r="240" spans="1:8" ht="39" customHeight="1">
      <c r="A240" s="187" t="s">
        <v>1273</v>
      </c>
      <c r="B240" s="187" t="s">
        <v>1259</v>
      </c>
      <c r="C240" s="187" t="s">
        <v>1274</v>
      </c>
      <c r="D240" s="200"/>
      <c r="E240" s="170" t="s">
        <v>1275</v>
      </c>
      <c r="F240" s="201">
        <f>F241</f>
        <v>135192</v>
      </c>
      <c r="G240" s="201">
        <f>G241</f>
        <v>53761.91</v>
      </c>
      <c r="H240" s="203">
        <f t="shared" si="6"/>
        <v>39.76707941298302</v>
      </c>
    </row>
    <row r="241" spans="1:8" ht="54.75" customHeight="1">
      <c r="A241" s="187" t="s">
        <v>1276</v>
      </c>
      <c r="B241" s="187" t="s">
        <v>1259</v>
      </c>
      <c r="C241" s="187" t="s">
        <v>1274</v>
      </c>
      <c r="D241" s="200" t="s">
        <v>882</v>
      </c>
      <c r="E241" s="204" t="s">
        <v>883</v>
      </c>
      <c r="F241" s="201">
        <f>300000+135192-103000-197000</f>
        <v>135192</v>
      </c>
      <c r="G241" s="198">
        <v>53761.91</v>
      </c>
      <c r="H241" s="203">
        <f t="shared" si="6"/>
        <v>39.76707941298302</v>
      </c>
    </row>
    <row r="242" spans="1:8" ht="24.75" customHeight="1">
      <c r="A242" s="187" t="s">
        <v>1277</v>
      </c>
      <c r="B242" s="187" t="s">
        <v>1259</v>
      </c>
      <c r="C242" s="187" t="s">
        <v>1278</v>
      </c>
      <c r="D242" s="200"/>
      <c r="E242" s="170" t="s">
        <v>1279</v>
      </c>
      <c r="F242" s="201">
        <f>F243</f>
        <v>236649</v>
      </c>
      <c r="G242" s="201">
        <f>G243</f>
        <v>236648.81</v>
      </c>
      <c r="H242" s="203">
        <f t="shared" si="6"/>
        <v>99.99991971231655</v>
      </c>
    </row>
    <row r="243" spans="1:8" ht="35.25" customHeight="1">
      <c r="A243" s="187" t="s">
        <v>1280</v>
      </c>
      <c r="B243" s="187" t="s">
        <v>1259</v>
      </c>
      <c r="C243" s="187" t="s">
        <v>1278</v>
      </c>
      <c r="D243" s="200" t="s">
        <v>882</v>
      </c>
      <c r="E243" s="204" t="s">
        <v>920</v>
      </c>
      <c r="F243" s="201">
        <f>237838-1189</f>
        <v>236649</v>
      </c>
      <c r="G243" s="198">
        <v>236648.81</v>
      </c>
      <c r="H243" s="203">
        <f t="shared" si="6"/>
        <v>99.99991971231655</v>
      </c>
    </row>
    <row r="244" spans="1:8" ht="39" customHeight="1">
      <c r="A244" s="187" t="s">
        <v>1281</v>
      </c>
      <c r="B244" s="187" t="s">
        <v>1259</v>
      </c>
      <c r="C244" s="187" t="s">
        <v>1282</v>
      </c>
      <c r="D244" s="200"/>
      <c r="E244" s="170" t="s">
        <v>0</v>
      </c>
      <c r="F244" s="201">
        <f>F245</f>
        <v>239045</v>
      </c>
      <c r="G244" s="201">
        <f>G245</f>
        <v>17208.57</v>
      </c>
      <c r="H244" s="203">
        <f t="shared" si="6"/>
        <v>7.198883055491644</v>
      </c>
    </row>
    <row r="245" spans="1:8" ht="59.25" customHeight="1">
      <c r="A245" s="187" t="s">
        <v>1</v>
      </c>
      <c r="B245" s="187" t="s">
        <v>1259</v>
      </c>
      <c r="C245" s="187" t="s">
        <v>1282</v>
      </c>
      <c r="D245" s="200" t="s">
        <v>882</v>
      </c>
      <c r="E245" s="204" t="s">
        <v>883</v>
      </c>
      <c r="F245" s="201">
        <f>262000-22955</f>
        <v>239045</v>
      </c>
      <c r="G245" s="198">
        <v>17208.57</v>
      </c>
      <c r="H245" s="203">
        <f t="shared" si="6"/>
        <v>7.198883055491644</v>
      </c>
    </row>
    <row r="246" spans="1:8" ht="33.75" customHeight="1">
      <c r="A246" s="187" t="s">
        <v>882</v>
      </c>
      <c r="B246" s="187" t="s">
        <v>1259</v>
      </c>
      <c r="C246" s="187" t="s">
        <v>2</v>
      </c>
      <c r="D246" s="200"/>
      <c r="E246" s="170" t="s">
        <v>3</v>
      </c>
      <c r="F246" s="201">
        <f>F247</f>
        <v>286020</v>
      </c>
      <c r="G246" s="201">
        <f>G247</f>
        <v>103444.04</v>
      </c>
      <c r="H246" s="203">
        <f t="shared" si="6"/>
        <v>36.166715614292706</v>
      </c>
    </row>
    <row r="247" spans="1:8" ht="42.75" customHeight="1">
      <c r="A247" s="187" t="s">
        <v>4</v>
      </c>
      <c r="B247" s="187" t="s">
        <v>1259</v>
      </c>
      <c r="C247" s="187" t="s">
        <v>2</v>
      </c>
      <c r="D247" s="200" t="s">
        <v>882</v>
      </c>
      <c r="E247" s="204" t="s">
        <v>920</v>
      </c>
      <c r="F247" s="201">
        <f>293000-6980</f>
        <v>286020</v>
      </c>
      <c r="G247" s="198">
        <v>103444.04</v>
      </c>
      <c r="H247" s="203">
        <f t="shared" si="6"/>
        <v>36.166715614292706</v>
      </c>
    </row>
    <row r="248" spans="1:8" ht="36.75" customHeight="1">
      <c r="A248" s="187" t="s">
        <v>5</v>
      </c>
      <c r="B248" s="187" t="s">
        <v>1259</v>
      </c>
      <c r="C248" s="187" t="s">
        <v>6</v>
      </c>
      <c r="D248" s="200"/>
      <c r="E248" s="170" t="s">
        <v>7</v>
      </c>
      <c r="F248" s="201">
        <f>F249</f>
        <v>2074513</v>
      </c>
      <c r="G248" s="201">
        <f>G249</f>
        <v>2074513</v>
      </c>
      <c r="H248" s="203">
        <f t="shared" si="6"/>
        <v>100</v>
      </c>
    </row>
    <row r="249" spans="1:8" ht="64.5" customHeight="1">
      <c r="A249" s="187" t="s">
        <v>8</v>
      </c>
      <c r="B249" s="187" t="s">
        <v>1259</v>
      </c>
      <c r="C249" s="187" t="s">
        <v>6</v>
      </c>
      <c r="D249" s="200" t="s">
        <v>1029</v>
      </c>
      <c r="E249" s="204" t="s">
        <v>1030</v>
      </c>
      <c r="F249" s="201">
        <f>1873080-178567+380000</f>
        <v>2074513</v>
      </c>
      <c r="G249" s="201">
        <f>1873080-178567+380000</f>
        <v>2074513</v>
      </c>
      <c r="H249" s="203">
        <f t="shared" si="6"/>
        <v>100</v>
      </c>
    </row>
    <row r="250" spans="1:8" ht="26.25" customHeight="1">
      <c r="A250" s="187" t="s">
        <v>986</v>
      </c>
      <c r="B250" s="187" t="s">
        <v>1259</v>
      </c>
      <c r="C250" s="187" t="s">
        <v>9</v>
      </c>
      <c r="D250" s="200"/>
      <c r="E250" s="204" t="s">
        <v>893</v>
      </c>
      <c r="F250" s="201">
        <f>SUM(F251:F253)</f>
        <v>1083375</v>
      </c>
      <c r="G250" s="201">
        <f>SUM(G251:G253)</f>
        <v>1083371.59</v>
      </c>
      <c r="H250" s="203">
        <f t="shared" si="6"/>
        <v>99.99968524287527</v>
      </c>
    </row>
    <row r="251" spans="1:8" ht="41.25" customHeight="1">
      <c r="A251" s="187" t="s">
        <v>10</v>
      </c>
      <c r="B251" s="187" t="s">
        <v>1259</v>
      </c>
      <c r="C251" s="187" t="s">
        <v>9</v>
      </c>
      <c r="D251" s="200" t="s">
        <v>882</v>
      </c>
      <c r="E251" s="204" t="s">
        <v>920</v>
      </c>
      <c r="F251" s="201">
        <v>881853</v>
      </c>
      <c r="G251" s="198">
        <v>881849.66</v>
      </c>
      <c r="H251" s="203">
        <f t="shared" si="6"/>
        <v>99.9996212520681</v>
      </c>
    </row>
    <row r="252" spans="1:8" ht="66" customHeight="1">
      <c r="A252" s="187" t="s">
        <v>11</v>
      </c>
      <c r="B252" s="187" t="s">
        <v>1259</v>
      </c>
      <c r="C252" s="187" t="s">
        <v>9</v>
      </c>
      <c r="D252" s="200" t="s">
        <v>1029</v>
      </c>
      <c r="E252" s="204" t="s">
        <v>1030</v>
      </c>
      <c r="F252" s="201">
        <v>178567</v>
      </c>
      <c r="G252" s="198">
        <v>178567</v>
      </c>
      <c r="H252" s="203">
        <f t="shared" si="6"/>
        <v>100</v>
      </c>
    </row>
    <row r="253" spans="1:8" ht="26.25" customHeight="1">
      <c r="A253" s="187" t="s">
        <v>12</v>
      </c>
      <c r="B253" s="187" t="s">
        <v>1259</v>
      </c>
      <c r="C253" s="187" t="s">
        <v>9</v>
      </c>
      <c r="D253" s="200" t="s">
        <v>889</v>
      </c>
      <c r="E253" s="204" t="s">
        <v>13</v>
      </c>
      <c r="F253" s="201">
        <v>22955</v>
      </c>
      <c r="G253" s="198">
        <v>22954.93</v>
      </c>
      <c r="H253" s="203">
        <f t="shared" si="6"/>
        <v>99.99969505554346</v>
      </c>
    </row>
    <row r="254" spans="1:8" ht="50.25" customHeight="1">
      <c r="A254" s="187" t="s">
        <v>14</v>
      </c>
      <c r="B254" s="187" t="s">
        <v>1259</v>
      </c>
      <c r="C254" s="187" t="s">
        <v>15</v>
      </c>
      <c r="D254" s="200"/>
      <c r="E254" s="204" t="s">
        <v>16</v>
      </c>
      <c r="F254" s="201">
        <f>F255+F257+F260+F262</f>
        <v>5709824</v>
      </c>
      <c r="G254" s="201">
        <f>G255+G257+G260+G262</f>
        <v>3354661.83</v>
      </c>
      <c r="H254" s="203">
        <f t="shared" si="6"/>
        <v>58.75245594259998</v>
      </c>
    </row>
    <row r="255" spans="1:8" ht="34.5" customHeight="1">
      <c r="A255" s="187" t="s">
        <v>17</v>
      </c>
      <c r="B255" s="187" t="s">
        <v>1259</v>
      </c>
      <c r="C255" s="187" t="s">
        <v>18</v>
      </c>
      <c r="D255" s="200"/>
      <c r="E255" s="204" t="s">
        <v>19</v>
      </c>
      <c r="F255" s="201">
        <f>F256</f>
        <v>4621643</v>
      </c>
      <c r="G255" s="201">
        <f>G256</f>
        <v>2424661.83</v>
      </c>
      <c r="H255" s="203">
        <f t="shared" si="6"/>
        <v>52.4632004246109</v>
      </c>
    </row>
    <row r="256" spans="1:8" ht="47.25" customHeight="1">
      <c r="A256" s="187" t="s">
        <v>20</v>
      </c>
      <c r="B256" s="187" t="s">
        <v>1259</v>
      </c>
      <c r="C256" s="187" t="s">
        <v>18</v>
      </c>
      <c r="D256" s="200" t="s">
        <v>882</v>
      </c>
      <c r="E256" s="204" t="s">
        <v>883</v>
      </c>
      <c r="F256" s="201">
        <f>5747650-332000-650000-64851-79156</f>
        <v>4621643</v>
      </c>
      <c r="G256" s="198">
        <v>2424661.83</v>
      </c>
      <c r="H256" s="203">
        <f t="shared" si="6"/>
        <v>52.4632004246109</v>
      </c>
    </row>
    <row r="257" spans="1:8" ht="37.5" customHeight="1">
      <c r="A257" s="187" t="s">
        <v>21</v>
      </c>
      <c r="B257" s="187" t="s">
        <v>1259</v>
      </c>
      <c r="C257" s="187" t="s">
        <v>22</v>
      </c>
      <c r="D257" s="200"/>
      <c r="E257" s="204" t="s">
        <v>23</v>
      </c>
      <c r="F257" s="201">
        <f>SUM(F258:F259)</f>
        <v>508181</v>
      </c>
      <c r="G257" s="201">
        <f>SUM(G258:G259)</f>
        <v>350000</v>
      </c>
      <c r="H257" s="203">
        <f t="shared" si="6"/>
        <v>68.87309836455908</v>
      </c>
    </row>
    <row r="258" spans="1:8" ht="50.25" customHeight="1">
      <c r="A258" s="187" t="s">
        <v>24</v>
      </c>
      <c r="B258" s="187" t="s">
        <v>1259</v>
      </c>
      <c r="C258" s="187" t="s">
        <v>22</v>
      </c>
      <c r="D258" s="200" t="s">
        <v>882</v>
      </c>
      <c r="E258" s="204" t="s">
        <v>883</v>
      </c>
      <c r="F258" s="201">
        <v>350000</v>
      </c>
      <c r="G258" s="198">
        <v>350000</v>
      </c>
      <c r="H258" s="203">
        <f t="shared" si="6"/>
        <v>100</v>
      </c>
    </row>
    <row r="259" spans="1:8" ht="71.25" customHeight="1">
      <c r="A259" s="187" t="s">
        <v>25</v>
      </c>
      <c r="B259" s="187" t="s">
        <v>1259</v>
      </c>
      <c r="C259" s="187" t="s">
        <v>22</v>
      </c>
      <c r="D259" s="200" t="s">
        <v>1029</v>
      </c>
      <c r="E259" s="204" t="s">
        <v>1030</v>
      </c>
      <c r="F259" s="201">
        <v>158181</v>
      </c>
      <c r="G259" s="198">
        <v>0</v>
      </c>
      <c r="H259" s="203">
        <f t="shared" si="6"/>
        <v>0</v>
      </c>
    </row>
    <row r="260" spans="1:8" ht="51.75" customHeight="1">
      <c r="A260" s="187" t="s">
        <v>26</v>
      </c>
      <c r="B260" s="187" t="s">
        <v>1259</v>
      </c>
      <c r="C260" s="187" t="s">
        <v>27</v>
      </c>
      <c r="D260" s="200"/>
      <c r="E260" s="204" t="s">
        <v>28</v>
      </c>
      <c r="F260" s="201">
        <f>F261</f>
        <v>150000</v>
      </c>
      <c r="G260" s="201">
        <f>G261</f>
        <v>150000</v>
      </c>
      <c r="H260" s="203">
        <f t="shared" si="6"/>
        <v>100</v>
      </c>
    </row>
    <row r="261" spans="1:8" ht="53.25" customHeight="1">
      <c r="A261" s="187" t="s">
        <v>29</v>
      </c>
      <c r="B261" s="187" t="s">
        <v>1259</v>
      </c>
      <c r="C261" s="187" t="s">
        <v>27</v>
      </c>
      <c r="D261" s="200" t="s">
        <v>882</v>
      </c>
      <c r="E261" s="204" t="s">
        <v>883</v>
      </c>
      <c r="F261" s="201">
        <f>540000-100000-290000</f>
        <v>150000</v>
      </c>
      <c r="G261" s="198">
        <v>150000</v>
      </c>
      <c r="H261" s="203">
        <f t="shared" si="6"/>
        <v>100</v>
      </c>
    </row>
    <row r="262" spans="1:8" ht="39" customHeight="1">
      <c r="A262" s="187" t="s">
        <v>30</v>
      </c>
      <c r="B262" s="187" t="s">
        <v>1259</v>
      </c>
      <c r="C262" s="187" t="s">
        <v>31</v>
      </c>
      <c r="D262" s="200"/>
      <c r="E262" s="204" t="s">
        <v>893</v>
      </c>
      <c r="F262" s="201">
        <f>F263</f>
        <v>430000</v>
      </c>
      <c r="G262" s="201">
        <f>G263</f>
        <v>430000</v>
      </c>
      <c r="H262" s="203">
        <f t="shared" si="6"/>
        <v>100</v>
      </c>
    </row>
    <row r="263" spans="1:8" ht="57" customHeight="1">
      <c r="A263" s="187" t="s">
        <v>32</v>
      </c>
      <c r="B263" s="187" t="s">
        <v>1259</v>
      </c>
      <c r="C263" s="187" t="s">
        <v>31</v>
      </c>
      <c r="D263" s="200" t="s">
        <v>882</v>
      </c>
      <c r="E263" s="204" t="s">
        <v>883</v>
      </c>
      <c r="F263" s="201">
        <v>430000</v>
      </c>
      <c r="G263" s="198">
        <v>430000</v>
      </c>
      <c r="H263" s="203">
        <f aca="true" t="shared" si="7" ref="H263:H326">G263/F263*100</f>
        <v>100</v>
      </c>
    </row>
    <row r="264" spans="1:8" ht="35.25" customHeight="1">
      <c r="A264" s="187" t="s">
        <v>33</v>
      </c>
      <c r="B264" s="188" t="s">
        <v>34</v>
      </c>
      <c r="C264" s="188"/>
      <c r="D264" s="189"/>
      <c r="E264" s="194" t="s">
        <v>35</v>
      </c>
      <c r="F264" s="191">
        <f>F265</f>
        <v>847502</v>
      </c>
      <c r="G264" s="191">
        <f>G265</f>
        <v>836240.41</v>
      </c>
      <c r="H264" s="206">
        <f t="shared" si="7"/>
        <v>98.6712019558656</v>
      </c>
    </row>
    <row r="265" spans="1:8" ht="87" customHeight="1">
      <c r="A265" s="187" t="s">
        <v>36</v>
      </c>
      <c r="B265" s="187" t="s">
        <v>34</v>
      </c>
      <c r="C265" s="187" t="s">
        <v>1205</v>
      </c>
      <c r="D265" s="189"/>
      <c r="E265" s="170" t="s">
        <v>1206</v>
      </c>
      <c r="F265" s="196">
        <f>F266</f>
        <v>847502</v>
      </c>
      <c r="G265" s="196">
        <f>G266</f>
        <v>836240.41</v>
      </c>
      <c r="H265" s="203">
        <f t="shared" si="7"/>
        <v>98.6712019558656</v>
      </c>
    </row>
    <row r="266" spans="1:8" ht="52.5" customHeight="1">
      <c r="A266" s="187" t="s">
        <v>37</v>
      </c>
      <c r="B266" s="187" t="s">
        <v>34</v>
      </c>
      <c r="C266" s="187" t="s">
        <v>38</v>
      </c>
      <c r="D266" s="189"/>
      <c r="E266" s="170" t="s">
        <v>39</v>
      </c>
      <c r="F266" s="196">
        <f>F267+F269+F271</f>
        <v>847502</v>
      </c>
      <c r="G266" s="196">
        <f>G267+G269+G271</f>
        <v>836240.41</v>
      </c>
      <c r="H266" s="203">
        <f t="shared" si="7"/>
        <v>98.6712019558656</v>
      </c>
    </row>
    <row r="267" spans="1:8" ht="77.25" customHeight="1">
      <c r="A267" s="187" t="s">
        <v>40</v>
      </c>
      <c r="B267" s="187" t="s">
        <v>34</v>
      </c>
      <c r="C267" s="187" t="s">
        <v>41</v>
      </c>
      <c r="D267" s="200"/>
      <c r="E267" s="170" t="s">
        <v>42</v>
      </c>
      <c r="F267" s="196">
        <f>F268</f>
        <v>715602</v>
      </c>
      <c r="G267" s="196">
        <f>G268</f>
        <v>704340.41</v>
      </c>
      <c r="H267" s="203">
        <f t="shared" si="7"/>
        <v>98.42627745590427</v>
      </c>
    </row>
    <row r="268" spans="1:8" ht="52.5" customHeight="1">
      <c r="A268" s="187" t="s">
        <v>43</v>
      </c>
      <c r="B268" s="187" t="s">
        <v>34</v>
      </c>
      <c r="C268" s="187" t="s">
        <v>41</v>
      </c>
      <c r="D268" s="200" t="s">
        <v>882</v>
      </c>
      <c r="E268" s="204" t="s">
        <v>883</v>
      </c>
      <c r="F268" s="196">
        <f>802000-11262-75136</f>
        <v>715602</v>
      </c>
      <c r="G268" s="198">
        <v>704340.41</v>
      </c>
      <c r="H268" s="203">
        <f t="shared" si="7"/>
        <v>98.42627745590427</v>
      </c>
    </row>
    <row r="269" spans="1:8" ht="18.75" customHeight="1">
      <c r="A269" s="187" t="s">
        <v>44</v>
      </c>
      <c r="B269" s="187" t="s">
        <v>34</v>
      </c>
      <c r="C269" s="187" t="s">
        <v>45</v>
      </c>
      <c r="D269" s="200"/>
      <c r="E269" s="204" t="s">
        <v>893</v>
      </c>
      <c r="F269" s="196">
        <f>F270</f>
        <v>36900</v>
      </c>
      <c r="G269" s="196">
        <f>G270</f>
        <v>36900</v>
      </c>
      <c r="H269" s="203">
        <f t="shared" si="7"/>
        <v>100</v>
      </c>
    </row>
    <row r="270" spans="1:8" ht="35.25" customHeight="1">
      <c r="A270" s="187" t="s">
        <v>46</v>
      </c>
      <c r="B270" s="187" t="s">
        <v>34</v>
      </c>
      <c r="C270" s="187" t="s">
        <v>45</v>
      </c>
      <c r="D270" s="200" t="s">
        <v>882</v>
      </c>
      <c r="E270" s="204" t="s">
        <v>920</v>
      </c>
      <c r="F270" s="196">
        <f>39600-2700</f>
        <v>36900</v>
      </c>
      <c r="G270" s="198">
        <v>36900</v>
      </c>
      <c r="H270" s="203">
        <f t="shared" si="7"/>
        <v>100</v>
      </c>
    </row>
    <row r="271" spans="1:8" ht="57" customHeight="1">
      <c r="A271" s="187" t="s">
        <v>47</v>
      </c>
      <c r="B271" s="187" t="s">
        <v>34</v>
      </c>
      <c r="C271" s="187" t="s">
        <v>48</v>
      </c>
      <c r="D271" s="200"/>
      <c r="E271" s="231" t="s">
        <v>49</v>
      </c>
      <c r="F271" s="196">
        <f>F272</f>
        <v>95000</v>
      </c>
      <c r="G271" s="196">
        <f>G272</f>
        <v>95000</v>
      </c>
      <c r="H271" s="203">
        <f t="shared" si="7"/>
        <v>100</v>
      </c>
    </row>
    <row r="272" spans="1:8" ht="57" customHeight="1">
      <c r="A272" s="187" t="s">
        <v>50</v>
      </c>
      <c r="B272" s="187" t="s">
        <v>34</v>
      </c>
      <c r="C272" s="187" t="s">
        <v>48</v>
      </c>
      <c r="D272" s="200" t="s">
        <v>882</v>
      </c>
      <c r="E272" s="204" t="s">
        <v>883</v>
      </c>
      <c r="F272" s="196">
        <v>95000</v>
      </c>
      <c r="G272" s="198">
        <v>95000</v>
      </c>
      <c r="H272" s="203">
        <f t="shared" si="7"/>
        <v>100</v>
      </c>
    </row>
    <row r="273" spans="1:8" ht="23.25" customHeight="1">
      <c r="A273" s="187" t="s">
        <v>51</v>
      </c>
      <c r="B273" s="188" t="s">
        <v>52</v>
      </c>
      <c r="C273" s="188"/>
      <c r="D273" s="189"/>
      <c r="E273" s="194" t="s">
        <v>53</v>
      </c>
      <c r="F273" s="191">
        <f aca="true" t="shared" si="8" ref="F273:G275">F274</f>
        <v>228450</v>
      </c>
      <c r="G273" s="191">
        <f t="shared" si="8"/>
        <v>25513</v>
      </c>
      <c r="H273" s="206">
        <f t="shared" si="7"/>
        <v>11.167870431166557</v>
      </c>
    </row>
    <row r="274" spans="1:8" ht="31.5">
      <c r="A274" s="187" t="s">
        <v>54</v>
      </c>
      <c r="B274" s="188" t="s">
        <v>55</v>
      </c>
      <c r="C274" s="188"/>
      <c r="D274" s="189"/>
      <c r="E274" s="194" t="s">
        <v>56</v>
      </c>
      <c r="F274" s="191">
        <f t="shared" si="8"/>
        <v>228450</v>
      </c>
      <c r="G274" s="191">
        <f t="shared" si="8"/>
        <v>25513</v>
      </c>
      <c r="H274" s="206">
        <f t="shared" si="7"/>
        <v>11.167870431166557</v>
      </c>
    </row>
    <row r="275" spans="1:8" ht="63">
      <c r="A275" s="187" t="s">
        <v>57</v>
      </c>
      <c r="B275" s="187" t="s">
        <v>55</v>
      </c>
      <c r="C275" s="187" t="s">
        <v>1039</v>
      </c>
      <c r="D275" s="200"/>
      <c r="E275" s="170" t="s">
        <v>1040</v>
      </c>
      <c r="F275" s="196">
        <f t="shared" si="8"/>
        <v>228450</v>
      </c>
      <c r="G275" s="196">
        <f t="shared" si="8"/>
        <v>25513</v>
      </c>
      <c r="H275" s="203">
        <f t="shared" si="7"/>
        <v>11.167870431166557</v>
      </c>
    </row>
    <row r="276" spans="1:8" ht="39.75" customHeight="1">
      <c r="A276" s="187" t="s">
        <v>58</v>
      </c>
      <c r="B276" s="187" t="s">
        <v>55</v>
      </c>
      <c r="C276" s="187" t="s">
        <v>59</v>
      </c>
      <c r="D276" s="200"/>
      <c r="E276" s="170" t="s">
        <v>60</v>
      </c>
      <c r="F276" s="201">
        <f>F277+F279+F281+F283+F285+F287</f>
        <v>228450</v>
      </c>
      <c r="G276" s="201">
        <f>G277+G279+G281+G283+G285+G287</f>
        <v>25513</v>
      </c>
      <c r="H276" s="203">
        <f t="shared" si="7"/>
        <v>11.167870431166557</v>
      </c>
    </row>
    <row r="277" spans="1:8" ht="35.25" customHeight="1">
      <c r="A277" s="187" t="s">
        <v>61</v>
      </c>
      <c r="B277" s="187" t="s">
        <v>55</v>
      </c>
      <c r="C277" s="187" t="s">
        <v>62</v>
      </c>
      <c r="D277" s="200"/>
      <c r="E277" s="170" t="s">
        <v>63</v>
      </c>
      <c r="F277" s="201">
        <f>F278</f>
        <v>193000</v>
      </c>
      <c r="G277" s="201">
        <f>G278</f>
        <v>0</v>
      </c>
      <c r="H277" s="203">
        <f t="shared" si="7"/>
        <v>0</v>
      </c>
    </row>
    <row r="278" spans="1:8" ht="58.5" customHeight="1">
      <c r="A278" s="187" t="s">
        <v>64</v>
      </c>
      <c r="B278" s="187" t="s">
        <v>55</v>
      </c>
      <c r="C278" s="187" t="s">
        <v>62</v>
      </c>
      <c r="D278" s="200" t="s">
        <v>882</v>
      </c>
      <c r="E278" s="204" t="s">
        <v>883</v>
      </c>
      <c r="F278" s="201">
        <f>200000-7000</f>
        <v>193000</v>
      </c>
      <c r="G278" s="198">
        <v>0</v>
      </c>
      <c r="H278" s="203">
        <f t="shared" si="7"/>
        <v>0</v>
      </c>
    </row>
    <row r="279" spans="1:8" ht="84" customHeight="1">
      <c r="A279" s="187" t="s">
        <v>65</v>
      </c>
      <c r="B279" s="187" t="s">
        <v>55</v>
      </c>
      <c r="C279" s="187" t="s">
        <v>66</v>
      </c>
      <c r="D279" s="200"/>
      <c r="E279" s="170" t="s">
        <v>67</v>
      </c>
      <c r="F279" s="201">
        <f>F280</f>
        <v>3000</v>
      </c>
      <c r="G279" s="201">
        <f>G280</f>
        <v>2880</v>
      </c>
      <c r="H279" s="203">
        <f t="shared" si="7"/>
        <v>96</v>
      </c>
    </row>
    <row r="280" spans="1:8" ht="47.25" customHeight="1">
      <c r="A280" s="187" t="s">
        <v>68</v>
      </c>
      <c r="B280" s="187" t="s">
        <v>55</v>
      </c>
      <c r="C280" s="187" t="s">
        <v>66</v>
      </c>
      <c r="D280" s="200" t="s">
        <v>882</v>
      </c>
      <c r="E280" s="204" t="s">
        <v>883</v>
      </c>
      <c r="F280" s="201">
        <v>3000</v>
      </c>
      <c r="G280" s="198">
        <v>2880</v>
      </c>
      <c r="H280" s="203">
        <f t="shared" si="7"/>
        <v>96</v>
      </c>
    </row>
    <row r="281" spans="1:8" ht="36.75" customHeight="1">
      <c r="A281" s="187" t="s">
        <v>69</v>
      </c>
      <c r="B281" s="187" t="s">
        <v>55</v>
      </c>
      <c r="C281" s="187" t="s">
        <v>70</v>
      </c>
      <c r="D281" s="200"/>
      <c r="E281" s="170" t="s">
        <v>71</v>
      </c>
      <c r="F281" s="201">
        <f>F282</f>
        <v>10500</v>
      </c>
      <c r="G281" s="198">
        <f>G282</f>
        <v>10487</v>
      </c>
      <c r="H281" s="203">
        <f t="shared" si="7"/>
        <v>99.87619047619047</v>
      </c>
    </row>
    <row r="282" spans="1:8" s="183" customFormat="1" ht="44.25" customHeight="1">
      <c r="A282" s="187" t="s">
        <v>72</v>
      </c>
      <c r="B282" s="187" t="s">
        <v>55</v>
      </c>
      <c r="C282" s="187" t="s">
        <v>70</v>
      </c>
      <c r="D282" s="200" t="s">
        <v>882</v>
      </c>
      <c r="E282" s="204" t="s">
        <v>920</v>
      </c>
      <c r="F282" s="201">
        <v>10500</v>
      </c>
      <c r="G282" s="198">
        <v>10487</v>
      </c>
      <c r="H282" s="203">
        <f t="shared" si="7"/>
        <v>99.87619047619047</v>
      </c>
    </row>
    <row r="283" spans="1:8" s="183" customFormat="1" ht="33.75" customHeight="1">
      <c r="A283" s="187" t="s">
        <v>73</v>
      </c>
      <c r="B283" s="187" t="s">
        <v>55</v>
      </c>
      <c r="C283" s="187" t="s">
        <v>74</v>
      </c>
      <c r="D283" s="200"/>
      <c r="E283" s="170" t="s">
        <v>75</v>
      </c>
      <c r="F283" s="201">
        <f>F284</f>
        <v>3150</v>
      </c>
      <c r="G283" s="198">
        <f>G284</f>
        <v>3146</v>
      </c>
      <c r="H283" s="203">
        <f t="shared" si="7"/>
        <v>99.87301587301587</v>
      </c>
    </row>
    <row r="284" spans="1:8" s="183" customFormat="1" ht="57" customHeight="1">
      <c r="A284" s="187" t="s">
        <v>76</v>
      </c>
      <c r="B284" s="187" t="s">
        <v>55</v>
      </c>
      <c r="C284" s="187" t="s">
        <v>74</v>
      </c>
      <c r="D284" s="200" t="s">
        <v>882</v>
      </c>
      <c r="E284" s="204" t="s">
        <v>883</v>
      </c>
      <c r="F284" s="201">
        <v>3150</v>
      </c>
      <c r="G284" s="198">
        <v>3146</v>
      </c>
      <c r="H284" s="203">
        <f t="shared" si="7"/>
        <v>99.87301587301587</v>
      </c>
    </row>
    <row r="285" spans="1:8" s="183" customFormat="1" ht="33.75" customHeight="1">
      <c r="A285" s="187" t="s">
        <v>77</v>
      </c>
      <c r="B285" s="187" t="s">
        <v>55</v>
      </c>
      <c r="C285" s="187" t="s">
        <v>78</v>
      </c>
      <c r="D285" s="200"/>
      <c r="E285" s="170" t="s">
        <v>79</v>
      </c>
      <c r="F285" s="201">
        <f>F286</f>
        <v>9800</v>
      </c>
      <c r="G285" s="198">
        <f>G286</f>
        <v>0</v>
      </c>
      <c r="H285" s="203">
        <f t="shared" si="7"/>
        <v>0</v>
      </c>
    </row>
    <row r="286" spans="1:8" s="216" customFormat="1" ht="53.25" customHeight="1">
      <c r="A286" s="187" t="s">
        <v>80</v>
      </c>
      <c r="B286" s="187" t="s">
        <v>55</v>
      </c>
      <c r="C286" s="187" t="s">
        <v>78</v>
      </c>
      <c r="D286" s="200" t="s">
        <v>882</v>
      </c>
      <c r="E286" s="204" t="s">
        <v>883</v>
      </c>
      <c r="F286" s="201">
        <f>18800-9000</f>
        <v>9800</v>
      </c>
      <c r="G286" s="198">
        <v>0</v>
      </c>
      <c r="H286" s="203">
        <f t="shared" si="7"/>
        <v>0</v>
      </c>
    </row>
    <row r="287" spans="1:8" s="216" customFormat="1" ht="42.75" customHeight="1">
      <c r="A287" s="187" t="s">
        <v>81</v>
      </c>
      <c r="B287" s="187" t="s">
        <v>55</v>
      </c>
      <c r="C287" s="187" t="s">
        <v>82</v>
      </c>
      <c r="D287" s="200"/>
      <c r="E287" s="204" t="s">
        <v>893</v>
      </c>
      <c r="F287" s="201">
        <f>F288</f>
        <v>9000</v>
      </c>
      <c r="G287" s="198">
        <f>G288</f>
        <v>9000</v>
      </c>
      <c r="H287" s="203">
        <f t="shared" si="7"/>
        <v>100</v>
      </c>
    </row>
    <row r="288" spans="1:8" s="216" customFormat="1" ht="52.5" customHeight="1">
      <c r="A288" s="187" t="s">
        <v>83</v>
      </c>
      <c r="B288" s="187" t="s">
        <v>55</v>
      </c>
      <c r="C288" s="187" t="s">
        <v>82</v>
      </c>
      <c r="D288" s="200" t="s">
        <v>882</v>
      </c>
      <c r="E288" s="204" t="s">
        <v>883</v>
      </c>
      <c r="F288" s="201">
        <v>9000</v>
      </c>
      <c r="G288" s="198">
        <v>9000</v>
      </c>
      <c r="H288" s="203">
        <f t="shared" si="7"/>
        <v>100</v>
      </c>
    </row>
    <row r="289" spans="1:8" s="216" customFormat="1" ht="21" customHeight="1">
      <c r="A289" s="187" t="s">
        <v>84</v>
      </c>
      <c r="B289" s="188" t="s">
        <v>85</v>
      </c>
      <c r="C289" s="188"/>
      <c r="D289" s="189"/>
      <c r="E289" s="194" t="s">
        <v>86</v>
      </c>
      <c r="F289" s="191">
        <f>F290+F316+F371+F397</f>
        <v>321367016.40999997</v>
      </c>
      <c r="G289" s="191">
        <f>G290+G316+G371+G397</f>
        <v>308694010.27</v>
      </c>
      <c r="H289" s="206">
        <f t="shared" si="7"/>
        <v>96.05653178674946</v>
      </c>
    </row>
    <row r="290" spans="1:9" s="216" customFormat="1" ht="24" customHeight="1">
      <c r="A290" s="187" t="s">
        <v>87</v>
      </c>
      <c r="B290" s="188" t="s">
        <v>88</v>
      </c>
      <c r="C290" s="188"/>
      <c r="D290" s="189"/>
      <c r="E290" s="194" t="s">
        <v>89</v>
      </c>
      <c r="F290" s="191">
        <f>F291+F314</f>
        <v>159155331.47</v>
      </c>
      <c r="G290" s="191">
        <f>G291+G314</f>
        <v>148733300.87</v>
      </c>
      <c r="H290" s="206">
        <f t="shared" si="7"/>
        <v>93.45166102590507</v>
      </c>
      <c r="I290" s="232"/>
    </row>
    <row r="291" spans="1:8" s="195" customFormat="1" ht="49.5" customHeight="1">
      <c r="A291" s="187" t="s">
        <v>90</v>
      </c>
      <c r="B291" s="187" t="s">
        <v>88</v>
      </c>
      <c r="C291" s="187" t="s">
        <v>91</v>
      </c>
      <c r="D291" s="189"/>
      <c r="E291" s="170" t="s">
        <v>92</v>
      </c>
      <c r="F291" s="196">
        <f>F292+F306</f>
        <v>158755331.47</v>
      </c>
      <c r="G291" s="196">
        <f>G292+G306</f>
        <v>148333300.87</v>
      </c>
      <c r="H291" s="203">
        <f t="shared" si="7"/>
        <v>93.43516182826941</v>
      </c>
    </row>
    <row r="292" spans="1:8" s="195" customFormat="1" ht="36" customHeight="1">
      <c r="A292" s="187" t="s">
        <v>93</v>
      </c>
      <c r="B292" s="187" t="s">
        <v>88</v>
      </c>
      <c r="C292" s="187" t="s">
        <v>94</v>
      </c>
      <c r="D292" s="189"/>
      <c r="E292" s="170" t="s">
        <v>95</v>
      </c>
      <c r="F292" s="196">
        <f>F293+F299+F296</f>
        <v>77826121.42</v>
      </c>
      <c r="G292" s="196">
        <f>G293+G299+G296</f>
        <v>77147014.68</v>
      </c>
      <c r="H292" s="203">
        <f t="shared" si="7"/>
        <v>99.12740513389444</v>
      </c>
    </row>
    <row r="293" spans="1:8" s="195" customFormat="1" ht="73.5" customHeight="1">
      <c r="A293" s="187" t="s">
        <v>96</v>
      </c>
      <c r="B293" s="187" t="s">
        <v>88</v>
      </c>
      <c r="C293" s="187" t="s">
        <v>97</v>
      </c>
      <c r="D293" s="200"/>
      <c r="E293" s="170" t="s">
        <v>98</v>
      </c>
      <c r="F293" s="201">
        <f>SUM(F294:F295)</f>
        <v>33876281.75</v>
      </c>
      <c r="G293" s="201">
        <f>SUM(G294:G295)</f>
        <v>33283614.91</v>
      </c>
      <c r="H293" s="203">
        <f t="shared" si="7"/>
        <v>98.25049618971244</v>
      </c>
    </row>
    <row r="294" spans="1:8" s="195" customFormat="1" ht="24.75" customHeight="1">
      <c r="A294" s="187" t="s">
        <v>99</v>
      </c>
      <c r="B294" s="187" t="s">
        <v>88</v>
      </c>
      <c r="C294" s="187" t="s">
        <v>97</v>
      </c>
      <c r="D294" s="200" t="s">
        <v>950</v>
      </c>
      <c r="E294" s="170" t="s">
        <v>951</v>
      </c>
      <c r="F294" s="201">
        <v>28396208.41</v>
      </c>
      <c r="G294" s="201">
        <v>28396208.41</v>
      </c>
      <c r="H294" s="203">
        <f t="shared" si="7"/>
        <v>100</v>
      </c>
    </row>
    <row r="295" spans="1:8" s="195" customFormat="1" ht="24.75" customHeight="1">
      <c r="A295" s="187" t="s">
        <v>100</v>
      </c>
      <c r="B295" s="187" t="s">
        <v>88</v>
      </c>
      <c r="C295" s="187" t="s">
        <v>97</v>
      </c>
      <c r="D295" s="200" t="s">
        <v>101</v>
      </c>
      <c r="E295" s="170" t="s">
        <v>102</v>
      </c>
      <c r="F295" s="201">
        <v>5480073.34</v>
      </c>
      <c r="G295" s="201">
        <v>4887406.5</v>
      </c>
      <c r="H295" s="203">
        <f t="shared" si="7"/>
        <v>89.18505641751138</v>
      </c>
    </row>
    <row r="296" spans="1:8" s="195" customFormat="1" ht="34.5" customHeight="1">
      <c r="A296" s="187" t="s">
        <v>103</v>
      </c>
      <c r="B296" s="187" t="s">
        <v>88</v>
      </c>
      <c r="C296" s="187" t="s">
        <v>104</v>
      </c>
      <c r="D296" s="200"/>
      <c r="E296" s="170" t="s">
        <v>885</v>
      </c>
      <c r="F296" s="201">
        <f>SUM(F297:F298)</f>
        <v>422839.67</v>
      </c>
      <c r="G296" s="201">
        <f>SUM(G297:G298)</f>
        <v>422468.51</v>
      </c>
      <c r="H296" s="203">
        <f t="shared" si="7"/>
        <v>99.9122220486077</v>
      </c>
    </row>
    <row r="297" spans="1:8" ht="15.75">
      <c r="A297" s="187" t="s">
        <v>105</v>
      </c>
      <c r="B297" s="187" t="s">
        <v>88</v>
      </c>
      <c r="C297" s="187" t="s">
        <v>104</v>
      </c>
      <c r="D297" s="200" t="s">
        <v>950</v>
      </c>
      <c r="E297" s="170" t="s">
        <v>951</v>
      </c>
      <c r="F297" s="201">
        <v>422468.51</v>
      </c>
      <c r="G297" s="201">
        <v>422468.51</v>
      </c>
      <c r="H297" s="203">
        <f t="shared" si="7"/>
        <v>100</v>
      </c>
    </row>
    <row r="298" spans="1:8" ht="15.75">
      <c r="A298" s="187" t="s">
        <v>106</v>
      </c>
      <c r="B298" s="187" t="s">
        <v>88</v>
      </c>
      <c r="C298" s="187" t="s">
        <v>104</v>
      </c>
      <c r="D298" s="200" t="s">
        <v>101</v>
      </c>
      <c r="E298" s="170" t="s">
        <v>102</v>
      </c>
      <c r="F298" s="201">
        <v>371.16</v>
      </c>
      <c r="G298" s="198">
        <v>0</v>
      </c>
      <c r="H298" s="203">
        <f t="shared" si="7"/>
        <v>0</v>
      </c>
    </row>
    <row r="299" spans="1:8" ht="95.25" customHeight="1">
      <c r="A299" s="187" t="s">
        <v>107</v>
      </c>
      <c r="B299" s="187" t="s">
        <v>88</v>
      </c>
      <c r="C299" s="187" t="s">
        <v>108</v>
      </c>
      <c r="D299" s="200"/>
      <c r="E299" s="170" t="s">
        <v>109</v>
      </c>
      <c r="F299" s="201">
        <f>F300+F303</f>
        <v>43527000</v>
      </c>
      <c r="G299" s="201">
        <f>G300+G303</f>
        <v>43440931.260000005</v>
      </c>
      <c r="H299" s="203">
        <f t="shared" si="7"/>
        <v>99.80226356054864</v>
      </c>
    </row>
    <row r="300" spans="1:8" ht="137.25" customHeight="1">
      <c r="A300" s="187" t="s">
        <v>110</v>
      </c>
      <c r="B300" s="187" t="s">
        <v>88</v>
      </c>
      <c r="C300" s="187" t="s">
        <v>111</v>
      </c>
      <c r="D300" s="200"/>
      <c r="E300" s="170" t="s">
        <v>112</v>
      </c>
      <c r="F300" s="201">
        <f>SUM(F301:F302)</f>
        <v>42750000</v>
      </c>
      <c r="G300" s="201">
        <f>SUM(G301:G302)</f>
        <v>42663931.260000005</v>
      </c>
      <c r="H300" s="203">
        <f t="shared" si="7"/>
        <v>99.79866961403509</v>
      </c>
    </row>
    <row r="301" spans="1:8" ht="27.75" customHeight="1">
      <c r="A301" s="187" t="s">
        <v>113</v>
      </c>
      <c r="B301" s="187" t="s">
        <v>88</v>
      </c>
      <c r="C301" s="187" t="s">
        <v>111</v>
      </c>
      <c r="D301" s="200" t="s">
        <v>950</v>
      </c>
      <c r="E301" s="170" t="s">
        <v>951</v>
      </c>
      <c r="F301" s="201">
        <v>37988936.44</v>
      </c>
      <c r="G301" s="198">
        <v>37902867.7</v>
      </c>
      <c r="H301" s="203">
        <f t="shared" si="7"/>
        <v>99.77343735290948</v>
      </c>
    </row>
    <row r="302" spans="1:8" ht="27.75" customHeight="1">
      <c r="A302" s="187" t="s">
        <v>114</v>
      </c>
      <c r="B302" s="187" t="s">
        <v>88</v>
      </c>
      <c r="C302" s="187" t="s">
        <v>111</v>
      </c>
      <c r="D302" s="200" t="s">
        <v>101</v>
      </c>
      <c r="E302" s="170" t="s">
        <v>102</v>
      </c>
      <c r="F302" s="201">
        <v>4761063.56</v>
      </c>
      <c r="G302" s="201">
        <v>4761063.56</v>
      </c>
      <c r="H302" s="203">
        <f t="shared" si="7"/>
        <v>100</v>
      </c>
    </row>
    <row r="303" spans="1:8" s="183" customFormat="1" ht="133.5" customHeight="1">
      <c r="A303" s="187" t="s">
        <v>115</v>
      </c>
      <c r="B303" s="187" t="s">
        <v>88</v>
      </c>
      <c r="C303" s="187" t="s">
        <v>116</v>
      </c>
      <c r="D303" s="200"/>
      <c r="E303" s="170" t="s">
        <v>117</v>
      </c>
      <c r="F303" s="201">
        <f>SUM(F304:F305)</f>
        <v>777000</v>
      </c>
      <c r="G303" s="201">
        <f>SUM(G304:G305)</f>
        <v>777000</v>
      </c>
      <c r="H303" s="203">
        <f t="shared" si="7"/>
        <v>100</v>
      </c>
    </row>
    <row r="304" spans="1:8" s="195" customFormat="1" ht="15.75">
      <c r="A304" s="187" t="s">
        <v>118</v>
      </c>
      <c r="B304" s="187" t="s">
        <v>88</v>
      </c>
      <c r="C304" s="187" t="s">
        <v>116</v>
      </c>
      <c r="D304" s="200" t="s">
        <v>950</v>
      </c>
      <c r="E304" s="170" t="s">
        <v>951</v>
      </c>
      <c r="F304" s="201">
        <v>518484</v>
      </c>
      <c r="G304" s="198">
        <v>518484</v>
      </c>
      <c r="H304" s="203">
        <f t="shared" si="7"/>
        <v>100</v>
      </c>
    </row>
    <row r="305" spans="1:8" s="195" customFormat="1" ht="15.75">
      <c r="A305" s="187" t="s">
        <v>119</v>
      </c>
      <c r="B305" s="187" t="s">
        <v>88</v>
      </c>
      <c r="C305" s="187" t="s">
        <v>116</v>
      </c>
      <c r="D305" s="200" t="s">
        <v>101</v>
      </c>
      <c r="E305" s="170" t="s">
        <v>102</v>
      </c>
      <c r="F305" s="201">
        <v>258516</v>
      </c>
      <c r="G305" s="198">
        <v>258516</v>
      </c>
      <c r="H305" s="203">
        <f t="shared" si="7"/>
        <v>100</v>
      </c>
    </row>
    <row r="306" spans="1:8" s="195" customFormat="1" ht="54.75" customHeight="1">
      <c r="A306" s="187" t="s">
        <v>120</v>
      </c>
      <c r="B306" s="187" t="s">
        <v>88</v>
      </c>
      <c r="C306" s="187" t="s">
        <v>121</v>
      </c>
      <c r="D306" s="200"/>
      <c r="E306" s="170" t="s">
        <v>122</v>
      </c>
      <c r="F306" s="201">
        <f>F307+F309+F312</f>
        <v>80929210.05</v>
      </c>
      <c r="G306" s="201">
        <f>G307+G309+G312</f>
        <v>71186286.19</v>
      </c>
      <c r="H306" s="203">
        <f t="shared" si="7"/>
        <v>87.96117760944338</v>
      </c>
    </row>
    <row r="307" spans="1:8" s="195" customFormat="1" ht="31.5">
      <c r="A307" s="187" t="s">
        <v>123</v>
      </c>
      <c r="B307" s="187" t="s">
        <v>88</v>
      </c>
      <c r="C307" s="187" t="s">
        <v>124</v>
      </c>
      <c r="D307" s="200"/>
      <c r="E307" s="217" t="s">
        <v>125</v>
      </c>
      <c r="F307" s="201">
        <f>F308</f>
        <v>7777778</v>
      </c>
      <c r="G307" s="201">
        <f>G308</f>
        <v>7777778</v>
      </c>
      <c r="H307" s="203">
        <f t="shared" si="7"/>
        <v>100</v>
      </c>
    </row>
    <row r="308" spans="1:8" s="195" customFormat="1" ht="21" customHeight="1">
      <c r="A308" s="187" t="s">
        <v>126</v>
      </c>
      <c r="B308" s="187" t="s">
        <v>88</v>
      </c>
      <c r="C308" s="187" t="s">
        <v>124</v>
      </c>
      <c r="D308" s="200" t="s">
        <v>127</v>
      </c>
      <c r="E308" s="170" t="s">
        <v>128</v>
      </c>
      <c r="F308" s="201">
        <f>5600000+2177778</f>
        <v>7777778</v>
      </c>
      <c r="G308" s="201">
        <f>5600000+2177778</f>
        <v>7777778</v>
      </c>
      <c r="H308" s="203">
        <f t="shared" si="7"/>
        <v>100</v>
      </c>
    </row>
    <row r="309" spans="1:8" s="195" customFormat="1" ht="54.75" customHeight="1">
      <c r="A309" s="187" t="s">
        <v>129</v>
      </c>
      <c r="B309" s="187" t="s">
        <v>88</v>
      </c>
      <c r="C309" s="187" t="s">
        <v>130</v>
      </c>
      <c r="D309" s="200"/>
      <c r="E309" s="170" t="s">
        <v>131</v>
      </c>
      <c r="F309" s="201">
        <f>F310+F311</f>
        <v>3151432.05</v>
      </c>
      <c r="G309" s="201">
        <f>G310+G311</f>
        <v>2878579.05</v>
      </c>
      <c r="H309" s="203">
        <f t="shared" si="7"/>
        <v>91.34193612075501</v>
      </c>
    </row>
    <row r="310" spans="1:8" s="195" customFormat="1" ht="57.75" customHeight="1">
      <c r="A310" s="187" t="s">
        <v>132</v>
      </c>
      <c r="B310" s="187" t="s">
        <v>88</v>
      </c>
      <c r="C310" s="187" t="s">
        <v>130</v>
      </c>
      <c r="D310" s="200" t="s">
        <v>882</v>
      </c>
      <c r="E310" s="204" t="s">
        <v>883</v>
      </c>
      <c r="F310" s="201">
        <f>1500000+1054351+90000+128502</f>
        <v>2772853</v>
      </c>
      <c r="G310" s="198">
        <v>2500000</v>
      </c>
      <c r="H310" s="203">
        <f t="shared" si="7"/>
        <v>90.15984619451518</v>
      </c>
    </row>
    <row r="311" spans="1:8" s="195" customFormat="1" ht="21.75" customHeight="1">
      <c r="A311" s="187" t="s">
        <v>133</v>
      </c>
      <c r="B311" s="187" t="s">
        <v>88</v>
      </c>
      <c r="C311" s="187" t="s">
        <v>130</v>
      </c>
      <c r="D311" s="200" t="s">
        <v>889</v>
      </c>
      <c r="E311" s="170" t="s">
        <v>13</v>
      </c>
      <c r="F311" s="201">
        <v>378579.05</v>
      </c>
      <c r="G311" s="201">
        <v>378579.05</v>
      </c>
      <c r="H311" s="203">
        <f t="shared" si="7"/>
        <v>100</v>
      </c>
    </row>
    <row r="312" spans="1:8" ht="36.75" customHeight="1">
      <c r="A312" s="187" t="s">
        <v>134</v>
      </c>
      <c r="B312" s="187" t="s">
        <v>88</v>
      </c>
      <c r="C312" s="187" t="s">
        <v>135</v>
      </c>
      <c r="D312" s="200"/>
      <c r="E312" s="170" t="s">
        <v>136</v>
      </c>
      <c r="F312" s="201">
        <f>F313</f>
        <v>70000000</v>
      </c>
      <c r="G312" s="201">
        <f>G313</f>
        <v>60529929.14</v>
      </c>
      <c r="H312" s="203">
        <f t="shared" si="7"/>
        <v>86.47132734285714</v>
      </c>
    </row>
    <row r="313" spans="1:8" ht="18" customHeight="1">
      <c r="A313" s="187" t="s">
        <v>137</v>
      </c>
      <c r="B313" s="187" t="s">
        <v>88</v>
      </c>
      <c r="C313" s="187" t="s">
        <v>135</v>
      </c>
      <c r="D313" s="200" t="s">
        <v>127</v>
      </c>
      <c r="E313" s="170" t="s">
        <v>128</v>
      </c>
      <c r="F313" s="201">
        <v>70000000</v>
      </c>
      <c r="G313" s="198">
        <v>60529929.14</v>
      </c>
      <c r="H313" s="203">
        <f t="shared" si="7"/>
        <v>86.47132734285714</v>
      </c>
    </row>
    <row r="314" spans="1:8" ht="19.5" customHeight="1">
      <c r="A314" s="187" t="s">
        <v>138</v>
      </c>
      <c r="B314" s="187" t="s">
        <v>88</v>
      </c>
      <c r="C314" s="187" t="s">
        <v>139</v>
      </c>
      <c r="D314" s="200"/>
      <c r="E314" s="170" t="s">
        <v>140</v>
      </c>
      <c r="F314" s="201">
        <f>F315</f>
        <v>400000</v>
      </c>
      <c r="G314" s="201">
        <f>G315</f>
        <v>400000</v>
      </c>
      <c r="H314" s="203">
        <f t="shared" si="7"/>
        <v>100</v>
      </c>
    </row>
    <row r="315" spans="1:8" ht="52.5" customHeight="1">
      <c r="A315" s="187" t="s">
        <v>141</v>
      </c>
      <c r="B315" s="187" t="s">
        <v>88</v>
      </c>
      <c r="C315" s="187" t="s">
        <v>139</v>
      </c>
      <c r="D315" s="200" t="s">
        <v>882</v>
      </c>
      <c r="E315" s="204" t="s">
        <v>883</v>
      </c>
      <c r="F315" s="201">
        <v>400000</v>
      </c>
      <c r="G315" s="198">
        <v>400000</v>
      </c>
      <c r="H315" s="203">
        <f t="shared" si="7"/>
        <v>100</v>
      </c>
    </row>
    <row r="316" spans="1:9" ht="23.25" customHeight="1">
      <c r="A316" s="187" t="s">
        <v>142</v>
      </c>
      <c r="B316" s="188" t="s">
        <v>143</v>
      </c>
      <c r="C316" s="188"/>
      <c r="D316" s="189"/>
      <c r="E316" s="194" t="s">
        <v>144</v>
      </c>
      <c r="F316" s="191">
        <f>F317+F365</f>
        <v>148474820.94</v>
      </c>
      <c r="G316" s="191">
        <f>G317+G365</f>
        <v>146465173.37</v>
      </c>
      <c r="H316" s="206">
        <f t="shared" si="7"/>
        <v>98.64647247440553</v>
      </c>
      <c r="I316" s="207"/>
    </row>
    <row r="317" spans="1:8" ht="48.75" customHeight="1">
      <c r="A317" s="187" t="s">
        <v>145</v>
      </c>
      <c r="B317" s="187" t="s">
        <v>143</v>
      </c>
      <c r="C317" s="187" t="s">
        <v>91</v>
      </c>
      <c r="D317" s="189"/>
      <c r="E317" s="170" t="s">
        <v>92</v>
      </c>
      <c r="F317" s="196">
        <f>F318+F340+F359+F362</f>
        <v>142130738.92</v>
      </c>
      <c r="G317" s="196">
        <f>G318+G340+G359+G362</f>
        <v>140132748.36</v>
      </c>
      <c r="H317" s="203">
        <f t="shared" si="7"/>
        <v>98.59425865567015</v>
      </c>
    </row>
    <row r="318" spans="1:8" ht="34.5" customHeight="1">
      <c r="A318" s="187" t="s">
        <v>146</v>
      </c>
      <c r="B318" s="187" t="s">
        <v>143</v>
      </c>
      <c r="C318" s="187" t="s">
        <v>147</v>
      </c>
      <c r="D318" s="189"/>
      <c r="E318" s="170" t="s">
        <v>148</v>
      </c>
      <c r="F318" s="196">
        <f>F319+F327+F336+F325</f>
        <v>123263152.71</v>
      </c>
      <c r="G318" s="196">
        <f>G319+G327+G336+G325</f>
        <v>121583682.32000001</v>
      </c>
      <c r="H318" s="203">
        <f t="shared" si="7"/>
        <v>98.63749194055481</v>
      </c>
    </row>
    <row r="319" spans="1:8" ht="63" customHeight="1">
      <c r="A319" s="187" t="s">
        <v>149</v>
      </c>
      <c r="B319" s="187" t="s">
        <v>143</v>
      </c>
      <c r="C319" s="187" t="s">
        <v>150</v>
      </c>
      <c r="D319" s="200"/>
      <c r="E319" s="170" t="s">
        <v>151</v>
      </c>
      <c r="F319" s="201">
        <f>SUM(F320:F324)</f>
        <v>46443664.69</v>
      </c>
      <c r="G319" s="201">
        <f>SUM(G320:G324)</f>
        <v>45551781.06</v>
      </c>
      <c r="H319" s="203">
        <f t="shared" si="7"/>
        <v>98.07964415393768</v>
      </c>
    </row>
    <row r="320" spans="1:8" ht="31.5">
      <c r="A320" s="187" t="s">
        <v>152</v>
      </c>
      <c r="B320" s="187" t="s">
        <v>143</v>
      </c>
      <c r="C320" s="187" t="s">
        <v>150</v>
      </c>
      <c r="D320" s="200" t="s">
        <v>946</v>
      </c>
      <c r="E320" s="170" t="s">
        <v>947</v>
      </c>
      <c r="F320" s="196">
        <v>2266081</v>
      </c>
      <c r="G320" s="198">
        <v>2265753.14</v>
      </c>
      <c r="H320" s="203">
        <f t="shared" si="7"/>
        <v>99.98553184992063</v>
      </c>
    </row>
    <row r="321" spans="1:8" ht="46.5" customHeight="1">
      <c r="A321" s="187" t="s">
        <v>153</v>
      </c>
      <c r="B321" s="187" t="s">
        <v>143</v>
      </c>
      <c r="C321" s="187" t="s">
        <v>150</v>
      </c>
      <c r="D321" s="200" t="s">
        <v>882</v>
      </c>
      <c r="E321" s="204" t="s">
        <v>883</v>
      </c>
      <c r="F321" s="201">
        <v>2541875.86</v>
      </c>
      <c r="G321" s="198">
        <v>2435237.81</v>
      </c>
      <c r="H321" s="203">
        <f t="shared" si="7"/>
        <v>95.80474988263197</v>
      </c>
    </row>
    <row r="322" spans="1:8" ht="24.75" customHeight="1">
      <c r="A322" s="187" t="s">
        <v>154</v>
      </c>
      <c r="B322" s="187" t="s">
        <v>143</v>
      </c>
      <c r="C322" s="187" t="s">
        <v>150</v>
      </c>
      <c r="D322" s="200" t="s">
        <v>891</v>
      </c>
      <c r="E322" s="170" t="s">
        <v>892</v>
      </c>
      <c r="F322" s="201">
        <v>169954.14</v>
      </c>
      <c r="G322" s="198">
        <v>167026</v>
      </c>
      <c r="H322" s="203">
        <f t="shared" si="7"/>
        <v>98.27709992825122</v>
      </c>
    </row>
    <row r="323" spans="1:8" ht="30.75" customHeight="1">
      <c r="A323" s="187" t="s">
        <v>155</v>
      </c>
      <c r="B323" s="187" t="s">
        <v>143</v>
      </c>
      <c r="C323" s="187" t="s">
        <v>150</v>
      </c>
      <c r="D323" s="200" t="s">
        <v>950</v>
      </c>
      <c r="E323" s="170" t="s">
        <v>951</v>
      </c>
      <c r="F323" s="201">
        <f>23005174-14841+86582+1805344-95213.3+117217.99+531000+192742</f>
        <v>25628005.689999998</v>
      </c>
      <c r="G323" s="198">
        <v>24846016.11</v>
      </c>
      <c r="H323" s="203">
        <f t="shared" si="7"/>
        <v>96.94869125027107</v>
      </c>
    </row>
    <row r="324" spans="1:8" ht="29.25" customHeight="1">
      <c r="A324" s="187" t="s">
        <v>156</v>
      </c>
      <c r="B324" s="187" t="s">
        <v>143</v>
      </c>
      <c r="C324" s="187" t="s">
        <v>150</v>
      </c>
      <c r="D324" s="200" t="s">
        <v>101</v>
      </c>
      <c r="E324" s="170" t="s">
        <v>102</v>
      </c>
      <c r="F324" s="201">
        <f>15562424+62019-86695+300000</f>
        <v>15837748</v>
      </c>
      <c r="G324" s="201">
        <f>15562424+62019-86695+300000</f>
        <v>15837748</v>
      </c>
      <c r="H324" s="203">
        <f t="shared" si="7"/>
        <v>100</v>
      </c>
    </row>
    <row r="325" spans="1:8" ht="32.25" customHeight="1">
      <c r="A325" s="187" t="s">
        <v>157</v>
      </c>
      <c r="B325" s="187" t="s">
        <v>143</v>
      </c>
      <c r="C325" s="187" t="s">
        <v>158</v>
      </c>
      <c r="D325" s="200"/>
      <c r="E325" s="170" t="s">
        <v>885</v>
      </c>
      <c r="F325" s="201">
        <f>F326</f>
        <v>859488.02</v>
      </c>
      <c r="G325" s="198">
        <v>859298.14</v>
      </c>
      <c r="H325" s="203">
        <f t="shared" si="7"/>
        <v>99.97790777816775</v>
      </c>
    </row>
    <row r="326" spans="1:8" ht="20.25" customHeight="1">
      <c r="A326" s="187" t="s">
        <v>940</v>
      </c>
      <c r="B326" s="187" t="s">
        <v>143</v>
      </c>
      <c r="C326" s="187" t="s">
        <v>158</v>
      </c>
      <c r="D326" s="200" t="s">
        <v>950</v>
      </c>
      <c r="E326" s="170" t="s">
        <v>951</v>
      </c>
      <c r="F326" s="201">
        <f>972.04+19626.58+743676.1+95213.3</f>
        <v>859488.02</v>
      </c>
      <c r="G326" s="198">
        <v>859298.14</v>
      </c>
      <c r="H326" s="203">
        <f t="shared" si="7"/>
        <v>99.97790777816775</v>
      </c>
    </row>
    <row r="327" spans="1:8" ht="140.25" customHeight="1">
      <c r="A327" s="187" t="s">
        <v>159</v>
      </c>
      <c r="B327" s="187" t="s">
        <v>143</v>
      </c>
      <c r="C327" s="187" t="s">
        <v>160</v>
      </c>
      <c r="D327" s="200"/>
      <c r="E327" s="170" t="s">
        <v>161</v>
      </c>
      <c r="F327" s="201">
        <f>F328+F332</f>
        <v>67671000</v>
      </c>
      <c r="G327" s="201">
        <f>G328+G332</f>
        <v>67498403.54</v>
      </c>
      <c r="H327" s="203">
        <f aca="true" t="shared" si="9" ref="H327:H390">G327/F327*100</f>
        <v>99.74494767330172</v>
      </c>
    </row>
    <row r="328" spans="1:8" ht="173.25" customHeight="1">
      <c r="A328" s="187" t="s">
        <v>162</v>
      </c>
      <c r="B328" s="187" t="s">
        <v>143</v>
      </c>
      <c r="C328" s="187" t="s">
        <v>163</v>
      </c>
      <c r="D328" s="200"/>
      <c r="E328" s="170" t="s">
        <v>161</v>
      </c>
      <c r="F328" s="196">
        <f>SUM(F329:F331)</f>
        <v>64388000</v>
      </c>
      <c r="G328" s="196">
        <f>SUM(G329:G331)</f>
        <v>64224174.68</v>
      </c>
      <c r="H328" s="203">
        <f t="shared" si="9"/>
        <v>99.74556544697771</v>
      </c>
    </row>
    <row r="329" spans="1:8" ht="18.75" customHeight="1">
      <c r="A329" s="187" t="s">
        <v>164</v>
      </c>
      <c r="B329" s="187" t="s">
        <v>143</v>
      </c>
      <c r="C329" s="187" t="s">
        <v>163</v>
      </c>
      <c r="D329" s="200" t="s">
        <v>946</v>
      </c>
      <c r="E329" s="170" t="s">
        <v>947</v>
      </c>
      <c r="F329" s="201">
        <f>1224140+619-61695+8826</f>
        <v>1171890</v>
      </c>
      <c r="G329" s="198">
        <v>1170603.19</v>
      </c>
      <c r="H329" s="203">
        <f t="shared" si="9"/>
        <v>99.89019361885501</v>
      </c>
    </row>
    <row r="330" spans="1:8" ht="20.25" customHeight="1">
      <c r="A330" s="187" t="s">
        <v>165</v>
      </c>
      <c r="B330" s="187" t="s">
        <v>143</v>
      </c>
      <c r="C330" s="187" t="s">
        <v>163</v>
      </c>
      <c r="D330" s="200" t="s">
        <v>950</v>
      </c>
      <c r="E330" s="170" t="s">
        <v>951</v>
      </c>
      <c r="F330" s="201">
        <f>39060522+74988-5352011+2099630</f>
        <v>35883129</v>
      </c>
      <c r="G330" s="198">
        <v>35720590.49</v>
      </c>
      <c r="H330" s="203">
        <f t="shared" si="9"/>
        <v>99.54703362128761</v>
      </c>
    </row>
    <row r="331" spans="1:8" ht="21" customHeight="1">
      <c r="A331" s="187" t="s">
        <v>166</v>
      </c>
      <c r="B331" s="187" t="s">
        <v>143</v>
      </c>
      <c r="C331" s="187" t="s">
        <v>163</v>
      </c>
      <c r="D331" s="200" t="s">
        <v>101</v>
      </c>
      <c r="E331" s="170" t="s">
        <v>102</v>
      </c>
      <c r="F331" s="201">
        <f>31117338+41393-4015294+189544</f>
        <v>27332981</v>
      </c>
      <c r="G331" s="198">
        <v>27332981</v>
      </c>
      <c r="H331" s="203">
        <f t="shared" si="9"/>
        <v>100</v>
      </c>
    </row>
    <row r="332" spans="1:8" ht="186.75" customHeight="1">
      <c r="A332" s="187" t="s">
        <v>167</v>
      </c>
      <c r="B332" s="187" t="s">
        <v>143</v>
      </c>
      <c r="C332" s="187" t="s">
        <v>168</v>
      </c>
      <c r="D332" s="200"/>
      <c r="E332" s="170" t="s">
        <v>161</v>
      </c>
      <c r="F332" s="196">
        <f>SUM(F333:F335)</f>
        <v>3283000</v>
      </c>
      <c r="G332" s="196">
        <f>SUM(G333:G335)</f>
        <v>3274228.8600000003</v>
      </c>
      <c r="H332" s="203">
        <f t="shared" si="9"/>
        <v>99.73283155650321</v>
      </c>
    </row>
    <row r="333" spans="1:8" ht="51" customHeight="1">
      <c r="A333" s="187" t="s">
        <v>169</v>
      </c>
      <c r="B333" s="187" t="s">
        <v>143</v>
      </c>
      <c r="C333" s="187" t="s">
        <v>168</v>
      </c>
      <c r="D333" s="200" t="s">
        <v>882</v>
      </c>
      <c r="E333" s="204" t="s">
        <v>883</v>
      </c>
      <c r="F333" s="201">
        <f>110000-69962</f>
        <v>40038</v>
      </c>
      <c r="G333" s="198">
        <v>35390.8</v>
      </c>
      <c r="H333" s="203">
        <f t="shared" si="9"/>
        <v>88.39302662470654</v>
      </c>
    </row>
    <row r="334" spans="1:8" ht="21.75" customHeight="1">
      <c r="A334" s="187" t="s">
        <v>170</v>
      </c>
      <c r="B334" s="187" t="s">
        <v>143</v>
      </c>
      <c r="C334" s="187" t="s">
        <v>168</v>
      </c>
      <c r="D334" s="200" t="s">
        <v>950</v>
      </c>
      <c r="E334" s="170" t="s">
        <v>951</v>
      </c>
      <c r="F334" s="201">
        <f>1759896+25316</f>
        <v>1785212</v>
      </c>
      <c r="G334" s="198">
        <v>1781088.06</v>
      </c>
      <c r="H334" s="203">
        <f t="shared" si="9"/>
        <v>99.76899438273999</v>
      </c>
    </row>
    <row r="335" spans="1:8" ht="21" customHeight="1">
      <c r="A335" s="187" t="s">
        <v>171</v>
      </c>
      <c r="B335" s="187" t="s">
        <v>143</v>
      </c>
      <c r="C335" s="187" t="s">
        <v>168</v>
      </c>
      <c r="D335" s="200" t="s">
        <v>101</v>
      </c>
      <c r="E335" s="170" t="s">
        <v>102</v>
      </c>
      <c r="F335" s="196">
        <f>1530104-72354</f>
        <v>1457750</v>
      </c>
      <c r="G335" s="196">
        <f>1530104-72354</f>
        <v>1457750</v>
      </c>
      <c r="H335" s="203">
        <f t="shared" si="9"/>
        <v>100</v>
      </c>
    </row>
    <row r="336" spans="1:8" ht="48" customHeight="1">
      <c r="A336" s="187" t="s">
        <v>172</v>
      </c>
      <c r="B336" s="187" t="s">
        <v>143</v>
      </c>
      <c r="C336" s="187" t="s">
        <v>173</v>
      </c>
      <c r="D336" s="200"/>
      <c r="E336" s="170" t="s">
        <v>174</v>
      </c>
      <c r="F336" s="196">
        <f>SUM(F337:F339)</f>
        <v>8289000</v>
      </c>
      <c r="G336" s="196">
        <f>SUM(G337:G339)</f>
        <v>7674199.58</v>
      </c>
      <c r="H336" s="203">
        <f t="shared" si="9"/>
        <v>92.58293618048016</v>
      </c>
    </row>
    <row r="337" spans="1:8" ht="47.25" customHeight="1">
      <c r="A337" s="187" t="s">
        <v>175</v>
      </c>
      <c r="B337" s="187" t="s">
        <v>143</v>
      </c>
      <c r="C337" s="187" t="s">
        <v>173</v>
      </c>
      <c r="D337" s="200" t="s">
        <v>882</v>
      </c>
      <c r="E337" s="170" t="s">
        <v>920</v>
      </c>
      <c r="F337" s="201">
        <v>84150</v>
      </c>
      <c r="G337" s="198">
        <v>75176.08</v>
      </c>
      <c r="H337" s="203">
        <f t="shared" si="9"/>
        <v>89.33580510992276</v>
      </c>
    </row>
    <row r="338" spans="1:8" ht="24" customHeight="1">
      <c r="A338" s="187" t="s">
        <v>176</v>
      </c>
      <c r="B338" s="187" t="s">
        <v>143</v>
      </c>
      <c r="C338" s="187" t="s">
        <v>173</v>
      </c>
      <c r="D338" s="200" t="s">
        <v>950</v>
      </c>
      <c r="E338" s="170" t="s">
        <v>951</v>
      </c>
      <c r="F338" s="201">
        <v>4873122</v>
      </c>
      <c r="G338" s="198">
        <v>4460592.56</v>
      </c>
      <c r="H338" s="203">
        <f t="shared" si="9"/>
        <v>91.53459650712622</v>
      </c>
    </row>
    <row r="339" spans="1:8" ht="21" customHeight="1">
      <c r="A339" s="187" t="s">
        <v>177</v>
      </c>
      <c r="B339" s="187" t="s">
        <v>143</v>
      </c>
      <c r="C339" s="187" t="s">
        <v>173</v>
      </c>
      <c r="D339" s="200" t="s">
        <v>101</v>
      </c>
      <c r="E339" s="170" t="s">
        <v>102</v>
      </c>
      <c r="F339" s="196">
        <v>3331728</v>
      </c>
      <c r="G339" s="198">
        <v>3138430.94</v>
      </c>
      <c r="H339" s="203">
        <f t="shared" si="9"/>
        <v>94.19829409843781</v>
      </c>
    </row>
    <row r="340" spans="1:8" ht="51.75" customHeight="1">
      <c r="A340" s="187" t="s">
        <v>178</v>
      </c>
      <c r="B340" s="187" t="s">
        <v>143</v>
      </c>
      <c r="C340" s="187" t="s">
        <v>179</v>
      </c>
      <c r="D340" s="200"/>
      <c r="E340" s="170" t="s">
        <v>180</v>
      </c>
      <c r="F340" s="201">
        <f>F341+F347+F351+F355+F353+F357</f>
        <v>18240266.21</v>
      </c>
      <c r="G340" s="201">
        <f>G341+G347+G351+G355+G353+G357</f>
        <v>18105325.14</v>
      </c>
      <c r="H340" s="203">
        <f t="shared" si="9"/>
        <v>99.26020229942687</v>
      </c>
    </row>
    <row r="341" spans="1:8" ht="51.75" customHeight="1">
      <c r="A341" s="187" t="s">
        <v>181</v>
      </c>
      <c r="B341" s="187" t="s">
        <v>143</v>
      </c>
      <c r="C341" s="187" t="s">
        <v>182</v>
      </c>
      <c r="D341" s="200"/>
      <c r="E341" s="170" t="s">
        <v>183</v>
      </c>
      <c r="F341" s="196">
        <f>SUM(F342:F346)</f>
        <v>16696207</v>
      </c>
      <c r="G341" s="196">
        <f>SUM(G342:G346)</f>
        <v>16619813.95</v>
      </c>
      <c r="H341" s="203">
        <f t="shared" si="9"/>
        <v>99.54245266604565</v>
      </c>
    </row>
    <row r="342" spans="1:8" ht="28.5" customHeight="1">
      <c r="A342" s="187" t="s">
        <v>184</v>
      </c>
      <c r="B342" s="187" t="s">
        <v>143</v>
      </c>
      <c r="C342" s="187" t="s">
        <v>182</v>
      </c>
      <c r="D342" s="200" t="s">
        <v>946</v>
      </c>
      <c r="E342" s="170" t="s">
        <v>947</v>
      </c>
      <c r="F342" s="201">
        <v>3015373.87</v>
      </c>
      <c r="G342" s="201">
        <v>3015373.87</v>
      </c>
      <c r="H342" s="203">
        <f t="shared" si="9"/>
        <v>100</v>
      </c>
    </row>
    <row r="343" spans="1:8" ht="60" customHeight="1">
      <c r="A343" s="187" t="s">
        <v>185</v>
      </c>
      <c r="B343" s="187" t="s">
        <v>143</v>
      </c>
      <c r="C343" s="187" t="s">
        <v>182</v>
      </c>
      <c r="D343" s="200" t="s">
        <v>882</v>
      </c>
      <c r="E343" s="204" t="s">
        <v>883</v>
      </c>
      <c r="F343" s="196">
        <v>360388.28</v>
      </c>
      <c r="G343" s="196">
        <v>360388.28</v>
      </c>
      <c r="H343" s="203">
        <f t="shared" si="9"/>
        <v>100</v>
      </c>
    </row>
    <row r="344" spans="1:8" ht="25.5" customHeight="1">
      <c r="A344" s="187" t="s">
        <v>186</v>
      </c>
      <c r="B344" s="187" t="s">
        <v>143</v>
      </c>
      <c r="C344" s="187" t="s">
        <v>182</v>
      </c>
      <c r="D344" s="200" t="s">
        <v>891</v>
      </c>
      <c r="E344" s="170" t="s">
        <v>892</v>
      </c>
      <c r="F344" s="196">
        <v>38873</v>
      </c>
      <c r="G344" s="196">
        <v>38873</v>
      </c>
      <c r="H344" s="203">
        <f t="shared" si="9"/>
        <v>100</v>
      </c>
    </row>
    <row r="345" spans="1:8" ht="20.25" customHeight="1">
      <c r="A345" s="187" t="s">
        <v>187</v>
      </c>
      <c r="B345" s="187" t="s">
        <v>143</v>
      </c>
      <c r="C345" s="187" t="s">
        <v>182</v>
      </c>
      <c r="D345" s="200" t="s">
        <v>950</v>
      </c>
      <c r="E345" s="170" t="s">
        <v>951</v>
      </c>
      <c r="F345" s="201">
        <v>8740860</v>
      </c>
      <c r="G345" s="198">
        <v>8664466.95</v>
      </c>
      <c r="H345" s="203">
        <f t="shared" si="9"/>
        <v>99.12602364069438</v>
      </c>
    </row>
    <row r="346" spans="1:8" ht="20.25" customHeight="1">
      <c r="A346" s="187" t="s">
        <v>188</v>
      </c>
      <c r="B346" s="187" t="s">
        <v>143</v>
      </c>
      <c r="C346" s="187" t="s">
        <v>182</v>
      </c>
      <c r="D346" s="200" t="s">
        <v>101</v>
      </c>
      <c r="E346" s="170" t="s">
        <v>102</v>
      </c>
      <c r="F346" s="201">
        <v>4540711.85</v>
      </c>
      <c r="G346" s="201">
        <v>4540711.85</v>
      </c>
      <c r="H346" s="203">
        <f t="shared" si="9"/>
        <v>100</v>
      </c>
    </row>
    <row r="347" spans="1:8" ht="21.75" customHeight="1">
      <c r="A347" s="187" t="s">
        <v>189</v>
      </c>
      <c r="B347" s="187" t="s">
        <v>143</v>
      </c>
      <c r="C347" s="187" t="s">
        <v>190</v>
      </c>
      <c r="D347" s="200"/>
      <c r="E347" s="170" t="s">
        <v>885</v>
      </c>
      <c r="F347" s="201">
        <f>SUM(F348:F350)</f>
        <v>170659.21</v>
      </c>
      <c r="G347" s="201">
        <f>SUM(G348:G350)</f>
        <v>162111.19</v>
      </c>
      <c r="H347" s="203">
        <f t="shared" si="9"/>
        <v>94.99117568867219</v>
      </c>
    </row>
    <row r="348" spans="1:8" ht="33" customHeight="1">
      <c r="A348" s="187" t="s">
        <v>191</v>
      </c>
      <c r="B348" s="187" t="s">
        <v>143</v>
      </c>
      <c r="C348" s="187" t="s">
        <v>190</v>
      </c>
      <c r="D348" s="200" t="s">
        <v>882</v>
      </c>
      <c r="E348" s="204" t="s">
        <v>920</v>
      </c>
      <c r="F348" s="201">
        <v>78551.67</v>
      </c>
      <c r="G348" s="201">
        <v>78551.67</v>
      </c>
      <c r="H348" s="203">
        <f t="shared" si="9"/>
        <v>100</v>
      </c>
    </row>
    <row r="349" spans="1:8" ht="20.25" customHeight="1">
      <c r="A349" s="187" t="s">
        <v>192</v>
      </c>
      <c r="B349" s="187" t="s">
        <v>143</v>
      </c>
      <c r="C349" s="187" t="s">
        <v>190</v>
      </c>
      <c r="D349" s="200" t="s">
        <v>950</v>
      </c>
      <c r="E349" s="170" t="s">
        <v>951</v>
      </c>
      <c r="F349" s="201">
        <v>4456.9</v>
      </c>
      <c r="G349" s="201">
        <v>4456.9</v>
      </c>
      <c r="H349" s="203">
        <f t="shared" si="9"/>
        <v>100</v>
      </c>
    </row>
    <row r="350" spans="1:8" ht="18.75" customHeight="1">
      <c r="A350" s="187" t="s">
        <v>193</v>
      </c>
      <c r="B350" s="187" t="s">
        <v>143</v>
      </c>
      <c r="C350" s="187" t="s">
        <v>190</v>
      </c>
      <c r="D350" s="200" t="s">
        <v>101</v>
      </c>
      <c r="E350" s="170" t="s">
        <v>102</v>
      </c>
      <c r="F350" s="201">
        <v>87650.64</v>
      </c>
      <c r="G350" s="233">
        <v>79102.62</v>
      </c>
      <c r="H350" s="203">
        <f t="shared" si="9"/>
        <v>90.24762397627673</v>
      </c>
    </row>
    <row r="351" spans="1:8" ht="144" customHeight="1">
      <c r="A351" s="187" t="s">
        <v>194</v>
      </c>
      <c r="B351" s="187" t="s">
        <v>143</v>
      </c>
      <c r="C351" s="187" t="s">
        <v>195</v>
      </c>
      <c r="D351" s="200"/>
      <c r="E351" s="208" t="s">
        <v>196</v>
      </c>
      <c r="F351" s="201">
        <f>F352</f>
        <v>806000</v>
      </c>
      <c r="G351" s="201">
        <f>G352</f>
        <v>806000</v>
      </c>
      <c r="H351" s="203">
        <f t="shared" si="9"/>
        <v>100</v>
      </c>
    </row>
    <row r="352" spans="1:8" ht="33" customHeight="1">
      <c r="A352" s="187" t="s">
        <v>197</v>
      </c>
      <c r="B352" s="187" t="s">
        <v>143</v>
      </c>
      <c r="C352" s="187" t="s">
        <v>195</v>
      </c>
      <c r="D352" s="200" t="s">
        <v>950</v>
      </c>
      <c r="E352" s="170" t="s">
        <v>951</v>
      </c>
      <c r="F352" s="201">
        <v>806000</v>
      </c>
      <c r="G352" s="201">
        <v>806000</v>
      </c>
      <c r="H352" s="203">
        <f t="shared" si="9"/>
        <v>100</v>
      </c>
    </row>
    <row r="353" spans="1:8" ht="33" customHeight="1">
      <c r="A353" s="187" t="s">
        <v>198</v>
      </c>
      <c r="B353" s="187" t="s">
        <v>143</v>
      </c>
      <c r="C353" s="187" t="s">
        <v>199</v>
      </c>
      <c r="D353" s="200"/>
      <c r="E353" s="170" t="s">
        <v>200</v>
      </c>
      <c r="F353" s="201">
        <f>F354</f>
        <v>57693</v>
      </c>
      <c r="G353" s="201">
        <f>G354</f>
        <v>57693</v>
      </c>
      <c r="H353" s="203">
        <f t="shared" si="9"/>
        <v>100</v>
      </c>
    </row>
    <row r="354" spans="1:8" ht="24.75" customHeight="1">
      <c r="A354" s="187" t="s">
        <v>201</v>
      </c>
      <c r="B354" s="187" t="s">
        <v>143</v>
      </c>
      <c r="C354" s="187" t="s">
        <v>199</v>
      </c>
      <c r="D354" s="200" t="s">
        <v>950</v>
      </c>
      <c r="E354" s="170" t="s">
        <v>951</v>
      </c>
      <c r="F354" s="201">
        <v>57693</v>
      </c>
      <c r="G354" s="201">
        <v>57693</v>
      </c>
      <c r="H354" s="203">
        <f t="shared" si="9"/>
        <v>100</v>
      </c>
    </row>
    <row r="355" spans="1:8" ht="33" customHeight="1">
      <c r="A355" s="187" t="s">
        <v>202</v>
      </c>
      <c r="B355" s="187" t="s">
        <v>143</v>
      </c>
      <c r="C355" s="187" t="s">
        <v>203</v>
      </c>
      <c r="D355" s="200"/>
      <c r="E355" s="170" t="s">
        <v>204</v>
      </c>
      <c r="F355" s="201">
        <f>F356</f>
        <v>50000</v>
      </c>
      <c r="G355" s="201">
        <f>G356</f>
        <v>0</v>
      </c>
      <c r="H355" s="203">
        <f t="shared" si="9"/>
        <v>0</v>
      </c>
    </row>
    <row r="356" spans="1:8" ht="33" customHeight="1">
      <c r="A356" s="187" t="s">
        <v>205</v>
      </c>
      <c r="B356" s="187" t="s">
        <v>143</v>
      </c>
      <c r="C356" s="187" t="s">
        <v>203</v>
      </c>
      <c r="D356" s="200" t="s">
        <v>101</v>
      </c>
      <c r="E356" s="170" t="s">
        <v>102</v>
      </c>
      <c r="F356" s="201">
        <v>50000</v>
      </c>
      <c r="G356" s="198">
        <v>0</v>
      </c>
      <c r="H356" s="203">
        <f t="shared" si="9"/>
        <v>0</v>
      </c>
    </row>
    <row r="357" spans="1:8" ht="33" customHeight="1">
      <c r="A357" s="187" t="s">
        <v>206</v>
      </c>
      <c r="B357" s="187" t="s">
        <v>143</v>
      </c>
      <c r="C357" s="187" t="s">
        <v>207</v>
      </c>
      <c r="D357" s="200"/>
      <c r="E357" s="170" t="s">
        <v>208</v>
      </c>
      <c r="F357" s="201">
        <f>F358</f>
        <v>459707</v>
      </c>
      <c r="G357" s="201">
        <f>G358</f>
        <v>459707</v>
      </c>
      <c r="H357" s="203">
        <f t="shared" si="9"/>
        <v>100</v>
      </c>
    </row>
    <row r="358" spans="1:8" ht="23.25" customHeight="1">
      <c r="A358" s="187" t="s">
        <v>209</v>
      </c>
      <c r="B358" s="187" t="s">
        <v>143</v>
      </c>
      <c r="C358" s="187" t="s">
        <v>207</v>
      </c>
      <c r="D358" s="200" t="s">
        <v>950</v>
      </c>
      <c r="E358" s="170" t="s">
        <v>951</v>
      </c>
      <c r="F358" s="201">
        <v>459707</v>
      </c>
      <c r="G358" s="201">
        <v>459707</v>
      </c>
      <c r="H358" s="203">
        <f t="shared" si="9"/>
        <v>100</v>
      </c>
    </row>
    <row r="359" spans="1:8" ht="48.75" customHeight="1">
      <c r="A359" s="187" t="s">
        <v>210</v>
      </c>
      <c r="B359" s="187" t="s">
        <v>143</v>
      </c>
      <c r="C359" s="187" t="s">
        <v>121</v>
      </c>
      <c r="D359" s="200"/>
      <c r="E359" s="170" t="s">
        <v>122</v>
      </c>
      <c r="F359" s="201">
        <f>F360</f>
        <v>377320</v>
      </c>
      <c r="G359" s="201">
        <f>G360</f>
        <v>376988.9</v>
      </c>
      <c r="H359" s="203">
        <f t="shared" si="9"/>
        <v>99.91224954945405</v>
      </c>
    </row>
    <row r="360" spans="1:8" ht="102.75" customHeight="1">
      <c r="A360" s="187" t="s">
        <v>211</v>
      </c>
      <c r="B360" s="187" t="s">
        <v>143</v>
      </c>
      <c r="C360" s="187" t="s">
        <v>212</v>
      </c>
      <c r="D360" s="200"/>
      <c r="E360" s="170" t="s">
        <v>213</v>
      </c>
      <c r="F360" s="196">
        <f>SUM(F361:F361)</f>
        <v>377320</v>
      </c>
      <c r="G360" s="196">
        <f>SUM(G361:G361)</f>
        <v>376988.9</v>
      </c>
      <c r="H360" s="203">
        <f t="shared" si="9"/>
        <v>99.91224954945405</v>
      </c>
    </row>
    <row r="361" spans="1:8" ht="24" customHeight="1">
      <c r="A361" s="187" t="s">
        <v>214</v>
      </c>
      <c r="B361" s="187" t="s">
        <v>143</v>
      </c>
      <c r="C361" s="187" t="s">
        <v>212</v>
      </c>
      <c r="D361" s="200" t="s">
        <v>950</v>
      </c>
      <c r="E361" s="170" t="s">
        <v>951</v>
      </c>
      <c r="F361" s="201">
        <f>4893590-260400-300000-4333190+377320</f>
        <v>377320</v>
      </c>
      <c r="G361" s="198">
        <v>376988.9</v>
      </c>
      <c r="H361" s="203">
        <f t="shared" si="9"/>
        <v>99.91224954945405</v>
      </c>
    </row>
    <row r="362" spans="1:8" ht="51" customHeight="1">
      <c r="A362" s="187" t="s">
        <v>215</v>
      </c>
      <c r="B362" s="187" t="s">
        <v>143</v>
      </c>
      <c r="C362" s="187" t="s">
        <v>216</v>
      </c>
      <c r="D362" s="200"/>
      <c r="E362" s="170" t="s">
        <v>217</v>
      </c>
      <c r="F362" s="201">
        <f>F363</f>
        <v>250000</v>
      </c>
      <c r="G362" s="201">
        <f>G363</f>
        <v>66752</v>
      </c>
      <c r="H362" s="203">
        <f t="shared" si="9"/>
        <v>26.7008</v>
      </c>
    </row>
    <row r="363" spans="1:8" ht="66.75" customHeight="1">
      <c r="A363" s="187" t="s">
        <v>218</v>
      </c>
      <c r="B363" s="187" t="s">
        <v>143</v>
      </c>
      <c r="C363" s="187" t="s">
        <v>219</v>
      </c>
      <c r="D363" s="200"/>
      <c r="E363" s="170" t="s">
        <v>220</v>
      </c>
      <c r="F363" s="201">
        <f>F364</f>
        <v>250000</v>
      </c>
      <c r="G363" s="201">
        <f>G364</f>
        <v>66752</v>
      </c>
      <c r="H363" s="203">
        <f t="shared" si="9"/>
        <v>26.7008</v>
      </c>
    </row>
    <row r="364" spans="1:8" ht="21.75" customHeight="1">
      <c r="A364" s="187" t="s">
        <v>221</v>
      </c>
      <c r="B364" s="187" t="s">
        <v>143</v>
      </c>
      <c r="C364" s="187" t="s">
        <v>219</v>
      </c>
      <c r="D364" s="200" t="s">
        <v>101</v>
      </c>
      <c r="E364" s="170" t="s">
        <v>102</v>
      </c>
      <c r="F364" s="201">
        <v>250000</v>
      </c>
      <c r="G364" s="198">
        <v>66752</v>
      </c>
      <c r="H364" s="203">
        <f t="shared" si="9"/>
        <v>26.7008</v>
      </c>
    </row>
    <row r="365" spans="1:8" ht="59.25" customHeight="1">
      <c r="A365" s="187" t="s">
        <v>222</v>
      </c>
      <c r="B365" s="187" t="s">
        <v>143</v>
      </c>
      <c r="C365" s="187" t="s">
        <v>223</v>
      </c>
      <c r="D365" s="189"/>
      <c r="E365" s="170" t="s">
        <v>224</v>
      </c>
      <c r="F365" s="196">
        <f>F366</f>
        <v>6344082.0200000005</v>
      </c>
      <c r="G365" s="196">
        <f>G366</f>
        <v>6332425.01</v>
      </c>
      <c r="H365" s="203">
        <f t="shared" si="9"/>
        <v>99.81625379427234</v>
      </c>
    </row>
    <row r="366" spans="1:8" ht="49.5" customHeight="1">
      <c r="A366" s="187" t="s">
        <v>988</v>
      </c>
      <c r="B366" s="187" t="s">
        <v>143</v>
      </c>
      <c r="C366" s="187" t="s">
        <v>225</v>
      </c>
      <c r="D366" s="200"/>
      <c r="E366" s="170" t="s">
        <v>226</v>
      </c>
      <c r="F366" s="201">
        <f>F367+F369</f>
        <v>6344082.0200000005</v>
      </c>
      <c r="G366" s="201">
        <f>G367+G369</f>
        <v>6332425.01</v>
      </c>
      <c r="H366" s="203">
        <f t="shared" si="9"/>
        <v>99.81625379427234</v>
      </c>
    </row>
    <row r="367" spans="1:8" ht="69.75" customHeight="1">
      <c r="A367" s="187" t="s">
        <v>227</v>
      </c>
      <c r="B367" s="187" t="s">
        <v>143</v>
      </c>
      <c r="C367" s="187" t="s">
        <v>228</v>
      </c>
      <c r="D367" s="200"/>
      <c r="E367" s="234" t="s">
        <v>229</v>
      </c>
      <c r="F367" s="201">
        <f>F368</f>
        <v>5728657.66</v>
      </c>
      <c r="G367" s="201">
        <f>G368</f>
        <v>5717031.05</v>
      </c>
      <c r="H367" s="203">
        <f t="shared" si="9"/>
        <v>99.79704477575642</v>
      </c>
    </row>
    <row r="368" spans="1:8" ht="26.25" customHeight="1">
      <c r="A368" s="187" t="s">
        <v>230</v>
      </c>
      <c r="B368" s="187" t="s">
        <v>143</v>
      </c>
      <c r="C368" s="187" t="s">
        <v>228</v>
      </c>
      <c r="D368" s="200" t="s">
        <v>950</v>
      </c>
      <c r="E368" s="170" t="s">
        <v>951</v>
      </c>
      <c r="F368" s="201">
        <f>5837083+4000-9989.88-93072.46-9363</f>
        <v>5728657.66</v>
      </c>
      <c r="G368" s="198">
        <v>5717031.05</v>
      </c>
      <c r="H368" s="203">
        <f t="shared" si="9"/>
        <v>99.79704477575642</v>
      </c>
    </row>
    <row r="369" spans="1:8" ht="26.25" customHeight="1">
      <c r="A369" s="187" t="s">
        <v>231</v>
      </c>
      <c r="B369" s="187" t="s">
        <v>143</v>
      </c>
      <c r="C369" s="187" t="s">
        <v>232</v>
      </c>
      <c r="D369" s="200"/>
      <c r="E369" s="170" t="s">
        <v>885</v>
      </c>
      <c r="F369" s="201">
        <f>F370</f>
        <v>615424.36</v>
      </c>
      <c r="G369" s="201">
        <f>G370</f>
        <v>615393.96</v>
      </c>
      <c r="H369" s="203">
        <f t="shared" si="9"/>
        <v>99.99506031902929</v>
      </c>
    </row>
    <row r="370" spans="1:8" ht="28.5" customHeight="1">
      <c r="A370" s="187" t="s">
        <v>233</v>
      </c>
      <c r="B370" s="187" t="s">
        <v>143</v>
      </c>
      <c r="C370" s="187" t="s">
        <v>232</v>
      </c>
      <c r="D370" s="200" t="s">
        <v>950</v>
      </c>
      <c r="E370" s="170" t="s">
        <v>951</v>
      </c>
      <c r="F370" s="201">
        <f>569.67+9989.88+52254.35+93072.46+459538</f>
        <v>615424.36</v>
      </c>
      <c r="G370" s="198">
        <v>615393.96</v>
      </c>
      <c r="H370" s="203">
        <f t="shared" si="9"/>
        <v>99.99506031902929</v>
      </c>
    </row>
    <row r="371" spans="1:8" ht="22.5" customHeight="1">
      <c r="A371" s="187" t="s">
        <v>234</v>
      </c>
      <c r="B371" s="188" t="s">
        <v>235</v>
      </c>
      <c r="C371" s="188"/>
      <c r="D371" s="189"/>
      <c r="E371" s="194" t="s">
        <v>236</v>
      </c>
      <c r="F371" s="191">
        <f>F372+F388</f>
        <v>5868105</v>
      </c>
      <c r="G371" s="191">
        <f>G372+G388</f>
        <v>5861161.14</v>
      </c>
      <c r="H371" s="206">
        <f t="shared" si="9"/>
        <v>99.88166776156868</v>
      </c>
    </row>
    <row r="372" spans="1:8" ht="48.75" customHeight="1">
      <c r="A372" s="187" t="s">
        <v>237</v>
      </c>
      <c r="B372" s="187" t="s">
        <v>235</v>
      </c>
      <c r="C372" s="187" t="s">
        <v>91</v>
      </c>
      <c r="D372" s="200"/>
      <c r="E372" s="170" t="s">
        <v>92</v>
      </c>
      <c r="F372" s="196">
        <f>F373</f>
        <v>5645145</v>
      </c>
      <c r="G372" s="196">
        <f>G373</f>
        <v>5638201.14</v>
      </c>
      <c r="H372" s="203">
        <f t="shared" si="9"/>
        <v>99.87699412504018</v>
      </c>
    </row>
    <row r="373" spans="1:8" ht="67.5" customHeight="1">
      <c r="A373" s="187" t="s">
        <v>238</v>
      </c>
      <c r="B373" s="187" t="s">
        <v>235</v>
      </c>
      <c r="C373" s="187" t="s">
        <v>179</v>
      </c>
      <c r="D373" s="200"/>
      <c r="E373" s="170" t="s">
        <v>180</v>
      </c>
      <c r="F373" s="201">
        <f>F374+F383+F380</f>
        <v>5645145</v>
      </c>
      <c r="G373" s="201">
        <f>G374+G383+G380</f>
        <v>5638201.14</v>
      </c>
      <c r="H373" s="203">
        <f t="shared" si="9"/>
        <v>99.87699412504018</v>
      </c>
    </row>
    <row r="374" spans="1:8" ht="33.75" customHeight="1">
      <c r="A374" s="187" t="s">
        <v>239</v>
      </c>
      <c r="B374" s="187" t="s">
        <v>235</v>
      </c>
      <c r="C374" s="187" t="s">
        <v>240</v>
      </c>
      <c r="D374" s="200"/>
      <c r="E374" s="204" t="s">
        <v>241</v>
      </c>
      <c r="F374" s="201">
        <f>SUM(F375:F379)</f>
        <v>1864560</v>
      </c>
      <c r="G374" s="201">
        <f>SUM(G375:G379)</f>
        <v>1859146.88</v>
      </c>
      <c r="H374" s="203">
        <f t="shared" si="9"/>
        <v>99.70968378598704</v>
      </c>
    </row>
    <row r="375" spans="1:8" ht="24" customHeight="1">
      <c r="A375" s="187" t="s">
        <v>242</v>
      </c>
      <c r="B375" s="187" t="s">
        <v>235</v>
      </c>
      <c r="C375" s="187" t="s">
        <v>240</v>
      </c>
      <c r="D375" s="200" t="s">
        <v>946</v>
      </c>
      <c r="E375" s="170" t="s">
        <v>947</v>
      </c>
      <c r="F375" s="201">
        <v>15916</v>
      </c>
      <c r="G375" s="198">
        <v>15914.36</v>
      </c>
      <c r="H375" s="203">
        <f t="shared" si="9"/>
        <v>99.98969590349334</v>
      </c>
    </row>
    <row r="376" spans="1:8" ht="38.25" customHeight="1">
      <c r="A376" s="187" t="s">
        <v>243</v>
      </c>
      <c r="B376" s="187" t="s">
        <v>235</v>
      </c>
      <c r="C376" s="187" t="s">
        <v>240</v>
      </c>
      <c r="D376" s="187" t="s">
        <v>882</v>
      </c>
      <c r="E376" s="170" t="s">
        <v>920</v>
      </c>
      <c r="F376" s="201">
        <v>22699</v>
      </c>
      <c r="G376" s="198">
        <v>22682.45</v>
      </c>
      <c r="H376" s="203">
        <f t="shared" si="9"/>
        <v>99.92708929908807</v>
      </c>
    </row>
    <row r="377" spans="1:8" ht="38.25" customHeight="1">
      <c r="A377" s="187" t="s">
        <v>244</v>
      </c>
      <c r="B377" s="187" t="s">
        <v>235</v>
      </c>
      <c r="C377" s="187" t="s">
        <v>240</v>
      </c>
      <c r="D377" s="187" t="s">
        <v>940</v>
      </c>
      <c r="E377" s="204" t="s">
        <v>245</v>
      </c>
      <c r="F377" s="201">
        <v>874765</v>
      </c>
      <c r="G377" s="198">
        <v>874764.5</v>
      </c>
      <c r="H377" s="203">
        <f t="shared" si="9"/>
        <v>99.9999428417918</v>
      </c>
    </row>
    <row r="378" spans="1:8" ht="21.75" customHeight="1">
      <c r="A378" s="187" t="s">
        <v>246</v>
      </c>
      <c r="B378" s="187" t="s">
        <v>235</v>
      </c>
      <c r="C378" s="187" t="s">
        <v>240</v>
      </c>
      <c r="D378" s="187" t="s">
        <v>950</v>
      </c>
      <c r="E378" s="170" t="s">
        <v>951</v>
      </c>
      <c r="F378" s="201">
        <v>609420</v>
      </c>
      <c r="G378" s="198">
        <v>604025.57</v>
      </c>
      <c r="H378" s="203">
        <f t="shared" si="9"/>
        <v>99.1148255718552</v>
      </c>
    </row>
    <row r="379" spans="1:8" ht="21.75" customHeight="1">
      <c r="A379" s="187" t="s">
        <v>247</v>
      </c>
      <c r="B379" s="187" t="s">
        <v>235</v>
      </c>
      <c r="C379" s="187" t="s">
        <v>240</v>
      </c>
      <c r="D379" s="187" t="s">
        <v>101</v>
      </c>
      <c r="E379" s="205" t="s">
        <v>102</v>
      </c>
      <c r="F379" s="201">
        <v>341760</v>
      </c>
      <c r="G379" s="201">
        <v>341760</v>
      </c>
      <c r="H379" s="203">
        <f t="shared" si="9"/>
        <v>100</v>
      </c>
    </row>
    <row r="380" spans="1:8" ht="24.75" customHeight="1">
      <c r="A380" s="187" t="s">
        <v>248</v>
      </c>
      <c r="B380" s="187" t="s">
        <v>235</v>
      </c>
      <c r="C380" s="187" t="s">
        <v>249</v>
      </c>
      <c r="D380" s="187"/>
      <c r="E380" s="170" t="s">
        <v>250</v>
      </c>
      <c r="F380" s="201">
        <f>SUM(F381:F382)</f>
        <v>639985</v>
      </c>
      <c r="G380" s="211">
        <f>SUM(G381:G382)</f>
        <v>639984.59</v>
      </c>
      <c r="H380" s="203">
        <f t="shared" si="9"/>
        <v>99.9999359359985</v>
      </c>
    </row>
    <row r="381" spans="1:8" ht="41.25" customHeight="1">
      <c r="A381" s="187" t="s">
        <v>251</v>
      </c>
      <c r="B381" s="187" t="s">
        <v>235</v>
      </c>
      <c r="C381" s="187" t="s">
        <v>249</v>
      </c>
      <c r="D381" s="200" t="s">
        <v>946</v>
      </c>
      <c r="E381" s="170" t="s">
        <v>947</v>
      </c>
      <c r="F381" s="212">
        <v>318475.41</v>
      </c>
      <c r="G381" s="201">
        <v>318475.41</v>
      </c>
      <c r="H381" s="203">
        <f t="shared" si="9"/>
        <v>100</v>
      </c>
    </row>
    <row r="382" spans="1:8" ht="25.5" customHeight="1">
      <c r="A382" s="187" t="s">
        <v>252</v>
      </c>
      <c r="B382" s="187" t="s">
        <v>235</v>
      </c>
      <c r="C382" s="187" t="s">
        <v>249</v>
      </c>
      <c r="D382" s="200" t="s">
        <v>101</v>
      </c>
      <c r="E382" s="205" t="s">
        <v>102</v>
      </c>
      <c r="F382" s="213">
        <v>321509.59</v>
      </c>
      <c r="G382" s="233">
        <v>321509.18</v>
      </c>
      <c r="H382" s="203">
        <f t="shared" si="9"/>
        <v>99.9998724765877</v>
      </c>
    </row>
    <row r="383" spans="1:8" ht="24.75" customHeight="1">
      <c r="A383" s="187" t="s">
        <v>253</v>
      </c>
      <c r="B383" s="187" t="s">
        <v>235</v>
      </c>
      <c r="C383" s="187" t="s">
        <v>254</v>
      </c>
      <c r="D383" s="200"/>
      <c r="E383" s="204" t="s">
        <v>255</v>
      </c>
      <c r="F383" s="235">
        <f>SUM(F384:F387)</f>
        <v>3140600</v>
      </c>
      <c r="G383" s="236">
        <f>SUM(G384:G387)</f>
        <v>3139069.67</v>
      </c>
      <c r="H383" s="203">
        <f t="shared" si="9"/>
        <v>99.95127268674776</v>
      </c>
    </row>
    <row r="384" spans="1:8" ht="55.5" customHeight="1">
      <c r="A384" s="187" t="s">
        <v>256</v>
      </c>
      <c r="B384" s="187" t="s">
        <v>235</v>
      </c>
      <c r="C384" s="187" t="s">
        <v>254</v>
      </c>
      <c r="D384" s="200" t="s">
        <v>882</v>
      </c>
      <c r="E384" s="204" t="s">
        <v>883</v>
      </c>
      <c r="F384" s="201">
        <v>39501</v>
      </c>
      <c r="G384" s="198">
        <v>37971.41</v>
      </c>
      <c r="H384" s="203">
        <f t="shared" si="9"/>
        <v>96.12771828561303</v>
      </c>
    </row>
    <row r="385" spans="1:8" ht="43.5" customHeight="1">
      <c r="A385" s="187" t="s">
        <v>257</v>
      </c>
      <c r="B385" s="187" t="s">
        <v>235</v>
      </c>
      <c r="C385" s="187" t="s">
        <v>254</v>
      </c>
      <c r="D385" s="200" t="s">
        <v>940</v>
      </c>
      <c r="E385" s="204" t="s">
        <v>941</v>
      </c>
      <c r="F385" s="201">
        <v>2182468</v>
      </c>
      <c r="G385" s="201">
        <v>2182468</v>
      </c>
      <c r="H385" s="203">
        <f t="shared" si="9"/>
        <v>100</v>
      </c>
    </row>
    <row r="386" spans="1:8" ht="22.5" customHeight="1">
      <c r="A386" s="187" t="s">
        <v>258</v>
      </c>
      <c r="B386" s="187" t="s">
        <v>235</v>
      </c>
      <c r="C386" s="187" t="s">
        <v>254</v>
      </c>
      <c r="D386" s="200" t="s">
        <v>950</v>
      </c>
      <c r="E386" s="170" t="s">
        <v>951</v>
      </c>
      <c r="F386" s="201">
        <v>667732</v>
      </c>
      <c r="G386" s="201">
        <v>667731.26</v>
      </c>
      <c r="H386" s="203">
        <f t="shared" si="9"/>
        <v>99.999889177095</v>
      </c>
    </row>
    <row r="387" spans="1:8" ht="20.25" customHeight="1">
      <c r="A387" s="187" t="s">
        <v>259</v>
      </c>
      <c r="B387" s="187" t="s">
        <v>235</v>
      </c>
      <c r="C387" s="187" t="s">
        <v>254</v>
      </c>
      <c r="D387" s="200" t="s">
        <v>101</v>
      </c>
      <c r="E387" s="205" t="s">
        <v>102</v>
      </c>
      <c r="F387" s="201">
        <v>250899</v>
      </c>
      <c r="G387" s="201">
        <v>250899</v>
      </c>
      <c r="H387" s="203">
        <f t="shared" si="9"/>
        <v>100</v>
      </c>
    </row>
    <row r="388" spans="1:8" ht="48.75" customHeight="1">
      <c r="A388" s="187" t="s">
        <v>260</v>
      </c>
      <c r="B388" s="187" t="s">
        <v>235</v>
      </c>
      <c r="C388" s="187" t="s">
        <v>223</v>
      </c>
      <c r="D388" s="200"/>
      <c r="E388" s="170" t="s">
        <v>224</v>
      </c>
      <c r="F388" s="201">
        <f>F389+F394</f>
        <v>222960</v>
      </c>
      <c r="G388" s="201">
        <f>G389+G394</f>
        <v>222960</v>
      </c>
      <c r="H388" s="203">
        <f t="shared" si="9"/>
        <v>100</v>
      </c>
    </row>
    <row r="389" spans="1:8" ht="33.75" customHeight="1">
      <c r="A389" s="187" t="s">
        <v>261</v>
      </c>
      <c r="B389" s="187" t="s">
        <v>235</v>
      </c>
      <c r="C389" s="187" t="s">
        <v>262</v>
      </c>
      <c r="D389" s="200"/>
      <c r="E389" s="170" t="s">
        <v>263</v>
      </c>
      <c r="F389" s="201">
        <f>F390+F392</f>
        <v>182960</v>
      </c>
      <c r="G389" s="201">
        <f>G390+G392</f>
        <v>182960</v>
      </c>
      <c r="H389" s="203">
        <f t="shared" si="9"/>
        <v>100</v>
      </c>
    </row>
    <row r="390" spans="1:8" ht="42.75" customHeight="1">
      <c r="A390" s="187" t="s">
        <v>264</v>
      </c>
      <c r="B390" s="187" t="s">
        <v>235</v>
      </c>
      <c r="C390" s="187" t="s">
        <v>265</v>
      </c>
      <c r="D390" s="200"/>
      <c r="E390" s="170" t="s">
        <v>266</v>
      </c>
      <c r="F390" s="201">
        <f>F391</f>
        <v>91960</v>
      </c>
      <c r="G390" s="201">
        <f>G391</f>
        <v>91960</v>
      </c>
      <c r="H390" s="203">
        <f t="shared" si="9"/>
        <v>100</v>
      </c>
    </row>
    <row r="391" spans="1:8" ht="50.25" customHeight="1">
      <c r="A391" s="187" t="s">
        <v>267</v>
      </c>
      <c r="B391" s="187" t="s">
        <v>235</v>
      </c>
      <c r="C391" s="187" t="s">
        <v>265</v>
      </c>
      <c r="D391" s="200" t="s">
        <v>882</v>
      </c>
      <c r="E391" s="204" t="s">
        <v>883</v>
      </c>
      <c r="F391" s="201">
        <v>91960</v>
      </c>
      <c r="G391" s="201">
        <v>91960</v>
      </c>
      <c r="H391" s="203">
        <f aca="true" t="shared" si="10" ref="H391:H454">G391/F391*100</f>
        <v>100</v>
      </c>
    </row>
    <row r="392" spans="1:8" ht="51" customHeight="1">
      <c r="A392" s="187" t="s">
        <v>268</v>
      </c>
      <c r="B392" s="187" t="s">
        <v>235</v>
      </c>
      <c r="C392" s="187" t="s">
        <v>269</v>
      </c>
      <c r="D392" s="200"/>
      <c r="E392" s="237" t="s">
        <v>270</v>
      </c>
      <c r="F392" s="201">
        <f>F393</f>
        <v>91000</v>
      </c>
      <c r="G392" s="201">
        <f>G393</f>
        <v>91000</v>
      </c>
      <c r="H392" s="203">
        <f t="shared" si="10"/>
        <v>100</v>
      </c>
    </row>
    <row r="393" spans="1:8" ht="46.5" customHeight="1">
      <c r="A393" s="187" t="s">
        <v>271</v>
      </c>
      <c r="B393" s="187" t="s">
        <v>235</v>
      </c>
      <c r="C393" s="187" t="s">
        <v>269</v>
      </c>
      <c r="D393" s="227" t="s">
        <v>882</v>
      </c>
      <c r="E393" s="204" t="s">
        <v>883</v>
      </c>
      <c r="F393" s="201">
        <v>91000</v>
      </c>
      <c r="G393" s="201">
        <v>91000</v>
      </c>
      <c r="H393" s="203">
        <f t="shared" si="10"/>
        <v>100</v>
      </c>
    </row>
    <row r="394" spans="1:8" ht="35.25" customHeight="1">
      <c r="A394" s="187" t="s">
        <v>272</v>
      </c>
      <c r="B394" s="187" t="s">
        <v>235</v>
      </c>
      <c r="C394" s="200" t="s">
        <v>273</v>
      </c>
      <c r="D394" s="228"/>
      <c r="E394" s="238" t="s">
        <v>274</v>
      </c>
      <c r="F394" s="201">
        <f>F395</f>
        <v>40000</v>
      </c>
      <c r="G394" s="201">
        <f>G395</f>
        <v>40000</v>
      </c>
      <c r="H394" s="203">
        <f t="shared" si="10"/>
        <v>100</v>
      </c>
    </row>
    <row r="395" spans="1:8" ht="42" customHeight="1">
      <c r="A395" s="187" t="s">
        <v>275</v>
      </c>
      <c r="B395" s="187" t="s">
        <v>235</v>
      </c>
      <c r="C395" s="187" t="s">
        <v>276</v>
      </c>
      <c r="D395" s="230"/>
      <c r="E395" s="210" t="s">
        <v>277</v>
      </c>
      <c r="F395" s="196">
        <f>F396</f>
        <v>40000</v>
      </c>
      <c r="G395" s="196">
        <f>G396</f>
        <v>40000</v>
      </c>
      <c r="H395" s="203">
        <f t="shared" si="10"/>
        <v>100</v>
      </c>
    </row>
    <row r="396" spans="1:8" ht="51" customHeight="1">
      <c r="A396" s="187" t="s">
        <v>278</v>
      </c>
      <c r="B396" s="187" t="s">
        <v>235</v>
      </c>
      <c r="C396" s="187" t="s">
        <v>276</v>
      </c>
      <c r="D396" s="200" t="s">
        <v>882</v>
      </c>
      <c r="E396" s="204" t="s">
        <v>883</v>
      </c>
      <c r="F396" s="196">
        <v>40000</v>
      </c>
      <c r="G396" s="198">
        <v>40000</v>
      </c>
      <c r="H396" s="203">
        <f t="shared" si="10"/>
        <v>100</v>
      </c>
    </row>
    <row r="397" spans="1:9" ht="18.75" customHeight="1">
      <c r="A397" s="187" t="s">
        <v>279</v>
      </c>
      <c r="B397" s="188" t="s">
        <v>280</v>
      </c>
      <c r="C397" s="188"/>
      <c r="D397" s="189"/>
      <c r="E397" s="194" t="s">
        <v>281</v>
      </c>
      <c r="F397" s="191">
        <f>F398</f>
        <v>7868759</v>
      </c>
      <c r="G397" s="191">
        <f>G398</f>
        <v>7634374.890000001</v>
      </c>
      <c r="H397" s="206">
        <f t="shared" si="10"/>
        <v>97.02133322420983</v>
      </c>
      <c r="I397" s="207"/>
    </row>
    <row r="398" spans="1:8" ht="50.25" customHeight="1">
      <c r="A398" s="187" t="s">
        <v>282</v>
      </c>
      <c r="B398" s="187" t="s">
        <v>280</v>
      </c>
      <c r="C398" s="187" t="s">
        <v>91</v>
      </c>
      <c r="D398" s="200"/>
      <c r="E398" s="170" t="s">
        <v>92</v>
      </c>
      <c r="F398" s="196">
        <f>F399</f>
        <v>7868759</v>
      </c>
      <c r="G398" s="196">
        <f>G399</f>
        <v>7634374.890000001</v>
      </c>
      <c r="H398" s="203">
        <f t="shared" si="10"/>
        <v>97.02133322420983</v>
      </c>
    </row>
    <row r="399" spans="1:8" ht="61.5" customHeight="1">
      <c r="A399" s="187" t="s">
        <v>283</v>
      </c>
      <c r="B399" s="187" t="s">
        <v>280</v>
      </c>
      <c r="C399" s="187" t="s">
        <v>284</v>
      </c>
      <c r="D399" s="200"/>
      <c r="E399" s="170" t="s">
        <v>285</v>
      </c>
      <c r="F399" s="201">
        <f>F400+F402+F409+F407</f>
        <v>7868759</v>
      </c>
      <c r="G399" s="201">
        <f>G400+G402+G409+G407</f>
        <v>7634374.890000001</v>
      </c>
      <c r="H399" s="203">
        <f t="shared" si="10"/>
        <v>97.02133322420983</v>
      </c>
    </row>
    <row r="400" spans="1:8" ht="33.75" customHeight="1">
      <c r="A400" s="187" t="s">
        <v>286</v>
      </c>
      <c r="B400" s="187" t="s">
        <v>280</v>
      </c>
      <c r="C400" s="187" t="s">
        <v>287</v>
      </c>
      <c r="D400" s="200"/>
      <c r="E400" s="210" t="s">
        <v>288</v>
      </c>
      <c r="F400" s="196">
        <f>F401</f>
        <v>49184</v>
      </c>
      <c r="G400" s="196">
        <f>G401</f>
        <v>35000</v>
      </c>
      <c r="H400" s="203">
        <f t="shared" si="10"/>
        <v>71.16135328562135</v>
      </c>
    </row>
    <row r="401" spans="1:8" ht="51" customHeight="1">
      <c r="A401" s="187" t="s">
        <v>289</v>
      </c>
      <c r="B401" s="187" t="s">
        <v>280</v>
      </c>
      <c r="C401" s="187" t="s">
        <v>287</v>
      </c>
      <c r="D401" s="200" t="s">
        <v>882</v>
      </c>
      <c r="E401" s="204" t="s">
        <v>883</v>
      </c>
      <c r="F401" s="201">
        <f>160000-100000-10816</f>
        <v>49184</v>
      </c>
      <c r="G401" s="198">
        <v>35000</v>
      </c>
      <c r="H401" s="203">
        <f t="shared" si="10"/>
        <v>71.16135328562135</v>
      </c>
    </row>
    <row r="402" spans="1:8" ht="33.75" customHeight="1">
      <c r="A402" s="187" t="s">
        <v>290</v>
      </c>
      <c r="B402" s="187" t="s">
        <v>280</v>
      </c>
      <c r="C402" s="187" t="s">
        <v>291</v>
      </c>
      <c r="D402" s="200"/>
      <c r="E402" s="170" t="s">
        <v>292</v>
      </c>
      <c r="F402" s="201">
        <f>SUM(F403:F406)</f>
        <v>2851457</v>
      </c>
      <c r="G402" s="201">
        <f>SUM(G403:G406)</f>
        <v>2633013.48</v>
      </c>
      <c r="H402" s="203">
        <f t="shared" si="10"/>
        <v>92.33923148762194</v>
      </c>
    </row>
    <row r="403" spans="1:8" ht="33.75" customHeight="1">
      <c r="A403" s="187" t="s">
        <v>293</v>
      </c>
      <c r="B403" s="187" t="s">
        <v>280</v>
      </c>
      <c r="C403" s="187" t="s">
        <v>291</v>
      </c>
      <c r="D403" s="200" t="s">
        <v>876</v>
      </c>
      <c r="E403" s="170" t="s">
        <v>877</v>
      </c>
      <c r="F403" s="201">
        <v>2318491</v>
      </c>
      <c r="G403" s="198">
        <v>2245710.82</v>
      </c>
      <c r="H403" s="203">
        <f t="shared" si="10"/>
        <v>96.860881495766</v>
      </c>
    </row>
    <row r="404" spans="1:8" ht="52.5" customHeight="1">
      <c r="A404" s="187" t="s">
        <v>294</v>
      </c>
      <c r="B404" s="187" t="s">
        <v>280</v>
      </c>
      <c r="C404" s="187" t="s">
        <v>291</v>
      </c>
      <c r="D404" s="200" t="s">
        <v>882</v>
      </c>
      <c r="E404" s="204" t="s">
        <v>883</v>
      </c>
      <c r="F404" s="196">
        <v>392626</v>
      </c>
      <c r="G404" s="198">
        <v>250233.41</v>
      </c>
      <c r="H404" s="203">
        <f t="shared" si="10"/>
        <v>63.73327543259998</v>
      </c>
    </row>
    <row r="405" spans="1:8" ht="24" customHeight="1">
      <c r="A405" s="187" t="s">
        <v>295</v>
      </c>
      <c r="B405" s="187" t="s">
        <v>280</v>
      </c>
      <c r="C405" s="187" t="s">
        <v>291</v>
      </c>
      <c r="D405" s="200" t="s">
        <v>889</v>
      </c>
      <c r="E405" s="170" t="s">
        <v>13</v>
      </c>
      <c r="F405" s="196">
        <v>9230</v>
      </c>
      <c r="G405" s="198">
        <v>9229.25</v>
      </c>
      <c r="H405" s="203">
        <f t="shared" si="10"/>
        <v>99.99187432286024</v>
      </c>
    </row>
    <row r="406" spans="1:8" ht="22.5" customHeight="1">
      <c r="A406" s="187" t="s">
        <v>296</v>
      </c>
      <c r="B406" s="187" t="s">
        <v>280</v>
      </c>
      <c r="C406" s="187" t="s">
        <v>291</v>
      </c>
      <c r="D406" s="200" t="s">
        <v>891</v>
      </c>
      <c r="E406" s="170" t="s">
        <v>892</v>
      </c>
      <c r="F406" s="196">
        <f>120294+10816</f>
        <v>131110</v>
      </c>
      <c r="G406" s="198">
        <v>127840</v>
      </c>
      <c r="H406" s="203">
        <f t="shared" si="10"/>
        <v>97.50591106704294</v>
      </c>
    </row>
    <row r="407" spans="1:8" ht="41.25" customHeight="1">
      <c r="A407" s="187" t="s">
        <v>297</v>
      </c>
      <c r="B407" s="187" t="s">
        <v>280</v>
      </c>
      <c r="C407" s="187" t="s">
        <v>298</v>
      </c>
      <c r="D407" s="200"/>
      <c r="E407" s="170" t="s">
        <v>885</v>
      </c>
      <c r="F407" s="196">
        <f>F408</f>
        <v>9539</v>
      </c>
      <c r="G407" s="196">
        <f>G408</f>
        <v>9538.17</v>
      </c>
      <c r="H407" s="203">
        <f t="shared" si="10"/>
        <v>99.99129887828913</v>
      </c>
    </row>
    <row r="408" spans="1:8" ht="50.25" customHeight="1">
      <c r="A408" s="187" t="s">
        <v>299</v>
      </c>
      <c r="B408" s="187" t="s">
        <v>280</v>
      </c>
      <c r="C408" s="187" t="s">
        <v>298</v>
      </c>
      <c r="D408" s="200" t="s">
        <v>882</v>
      </c>
      <c r="E408" s="204" t="s">
        <v>883</v>
      </c>
      <c r="F408" s="196">
        <v>9539</v>
      </c>
      <c r="G408" s="198">
        <v>9538.17</v>
      </c>
      <c r="H408" s="203">
        <f t="shared" si="10"/>
        <v>99.99129887828913</v>
      </c>
    </row>
    <row r="409" spans="1:8" ht="21.75" customHeight="1">
      <c r="A409" s="187" t="s">
        <v>300</v>
      </c>
      <c r="B409" s="187" t="s">
        <v>280</v>
      </c>
      <c r="C409" s="187" t="s">
        <v>301</v>
      </c>
      <c r="D409" s="200"/>
      <c r="E409" s="170" t="s">
        <v>302</v>
      </c>
      <c r="F409" s="201">
        <f>SUM(F410:F412)</f>
        <v>4958579</v>
      </c>
      <c r="G409" s="201">
        <f>SUM(G410:G412)</f>
        <v>4956823.24</v>
      </c>
      <c r="H409" s="203">
        <f t="shared" si="10"/>
        <v>99.96459146864454</v>
      </c>
    </row>
    <row r="410" spans="1:8" ht="44.25" customHeight="1">
      <c r="A410" s="187" t="s">
        <v>303</v>
      </c>
      <c r="B410" s="187" t="s">
        <v>280</v>
      </c>
      <c r="C410" s="187" t="s">
        <v>301</v>
      </c>
      <c r="D410" s="200" t="s">
        <v>946</v>
      </c>
      <c r="E410" s="170" t="s">
        <v>947</v>
      </c>
      <c r="F410" s="196">
        <f>4458218-208283+28644</f>
        <v>4278579</v>
      </c>
      <c r="G410" s="198">
        <v>4277544.99</v>
      </c>
      <c r="H410" s="203">
        <f t="shared" si="10"/>
        <v>99.97583286413551</v>
      </c>
    </row>
    <row r="411" spans="1:8" ht="48" customHeight="1">
      <c r="A411" s="187" t="s">
        <v>304</v>
      </c>
      <c r="B411" s="187" t="s">
        <v>280</v>
      </c>
      <c r="C411" s="187" t="s">
        <v>301</v>
      </c>
      <c r="D411" s="200" t="s">
        <v>882</v>
      </c>
      <c r="E411" s="204" t="s">
        <v>883</v>
      </c>
      <c r="F411" s="196">
        <v>678616</v>
      </c>
      <c r="G411" s="198">
        <v>677925.25</v>
      </c>
      <c r="H411" s="203">
        <f t="shared" si="10"/>
        <v>99.89821194902567</v>
      </c>
    </row>
    <row r="412" spans="1:8" ht="19.5" customHeight="1">
      <c r="A412" s="187" t="s">
        <v>305</v>
      </c>
      <c r="B412" s="187" t="s">
        <v>280</v>
      </c>
      <c r="C412" s="187" t="s">
        <v>301</v>
      </c>
      <c r="D412" s="200" t="s">
        <v>891</v>
      </c>
      <c r="E412" s="170" t="s">
        <v>892</v>
      </c>
      <c r="F412" s="196">
        <v>1384</v>
      </c>
      <c r="G412" s="198">
        <v>1353</v>
      </c>
      <c r="H412" s="203">
        <f t="shared" si="10"/>
        <v>97.76011560693641</v>
      </c>
    </row>
    <row r="413" spans="1:8" ht="21.75" customHeight="1">
      <c r="A413" s="187" t="s">
        <v>306</v>
      </c>
      <c r="B413" s="188" t="s">
        <v>307</v>
      </c>
      <c r="C413" s="188"/>
      <c r="D413" s="189"/>
      <c r="E413" s="194" t="s">
        <v>308</v>
      </c>
      <c r="F413" s="191">
        <f>F414+F435</f>
        <v>25643738.759999998</v>
      </c>
      <c r="G413" s="239">
        <f>G414+G435</f>
        <v>25583313.75</v>
      </c>
      <c r="H413" s="206">
        <f t="shared" si="10"/>
        <v>99.76436739367253</v>
      </c>
    </row>
    <row r="414" spans="1:8" ht="23.25" customHeight="1">
      <c r="A414" s="187" t="s">
        <v>309</v>
      </c>
      <c r="B414" s="188" t="s">
        <v>310</v>
      </c>
      <c r="C414" s="188"/>
      <c r="D414" s="189"/>
      <c r="E414" s="194" t="s">
        <v>311</v>
      </c>
      <c r="F414" s="191">
        <f>F415</f>
        <v>22687381.759999998</v>
      </c>
      <c r="G414" s="191">
        <f>G415</f>
        <v>22633188.35</v>
      </c>
      <c r="H414" s="206">
        <f t="shared" si="10"/>
        <v>99.7611297302911</v>
      </c>
    </row>
    <row r="415" spans="1:8" ht="38.25" customHeight="1">
      <c r="A415" s="187" t="s">
        <v>312</v>
      </c>
      <c r="B415" s="187" t="s">
        <v>310</v>
      </c>
      <c r="C415" s="187" t="s">
        <v>313</v>
      </c>
      <c r="D415" s="189"/>
      <c r="E415" s="170" t="s">
        <v>314</v>
      </c>
      <c r="F415" s="196">
        <f>F416+F428+F421</f>
        <v>22687381.759999998</v>
      </c>
      <c r="G415" s="196">
        <f>G416+G428+G421</f>
        <v>22633188.35</v>
      </c>
      <c r="H415" s="203">
        <f t="shared" si="10"/>
        <v>99.7611297302911</v>
      </c>
    </row>
    <row r="416" spans="1:8" ht="36" customHeight="1">
      <c r="A416" s="187" t="s">
        <v>127</v>
      </c>
      <c r="B416" s="187" t="s">
        <v>310</v>
      </c>
      <c r="C416" s="187" t="s">
        <v>315</v>
      </c>
      <c r="D416" s="189"/>
      <c r="E416" s="170" t="s">
        <v>316</v>
      </c>
      <c r="F416" s="196">
        <f>F417+F419</f>
        <v>13297681.76</v>
      </c>
      <c r="G416" s="196">
        <f>G417+G419</f>
        <v>13294036.72</v>
      </c>
      <c r="H416" s="203">
        <f t="shared" si="10"/>
        <v>99.97258890635386</v>
      </c>
    </row>
    <row r="417" spans="1:8" ht="35.25" customHeight="1">
      <c r="A417" s="187" t="s">
        <v>317</v>
      </c>
      <c r="B417" s="187" t="s">
        <v>310</v>
      </c>
      <c r="C417" s="187" t="s">
        <v>318</v>
      </c>
      <c r="D417" s="200"/>
      <c r="E417" s="170" t="s">
        <v>319</v>
      </c>
      <c r="F417" s="201">
        <f>F418</f>
        <v>11047704</v>
      </c>
      <c r="G417" s="201">
        <f>G418</f>
        <v>11047704</v>
      </c>
      <c r="H417" s="203">
        <f t="shared" si="10"/>
        <v>100</v>
      </c>
    </row>
    <row r="418" spans="1:8" ht="21" customHeight="1">
      <c r="A418" s="187" t="s">
        <v>320</v>
      </c>
      <c r="B418" s="187" t="s">
        <v>310</v>
      </c>
      <c r="C418" s="187" t="s">
        <v>318</v>
      </c>
      <c r="D418" s="200" t="s">
        <v>101</v>
      </c>
      <c r="E418" s="170" t="s">
        <v>102</v>
      </c>
      <c r="F418" s="196">
        <f>10306954+600000+100000+40750</f>
        <v>11047704</v>
      </c>
      <c r="G418" s="196">
        <f>10306954+600000+100000+40750</f>
        <v>11047704</v>
      </c>
      <c r="H418" s="203">
        <f t="shared" si="10"/>
        <v>100</v>
      </c>
    </row>
    <row r="419" spans="1:8" ht="41.25" customHeight="1">
      <c r="A419" s="187" t="s">
        <v>321</v>
      </c>
      <c r="B419" s="187" t="s">
        <v>310</v>
      </c>
      <c r="C419" s="187" t="s">
        <v>322</v>
      </c>
      <c r="D419" s="200"/>
      <c r="E419" s="170" t="s">
        <v>885</v>
      </c>
      <c r="F419" s="196">
        <f>F420</f>
        <v>2249977.76</v>
      </c>
      <c r="G419" s="198">
        <f>G420</f>
        <v>2246332.72</v>
      </c>
      <c r="H419" s="203">
        <f t="shared" si="10"/>
        <v>99.83799662090884</v>
      </c>
    </row>
    <row r="420" spans="1:8" ht="22.5" customHeight="1">
      <c r="A420" s="187" t="s">
        <v>323</v>
      </c>
      <c r="B420" s="187" t="s">
        <v>310</v>
      </c>
      <c r="C420" s="187" t="s">
        <v>322</v>
      </c>
      <c r="D420" s="200" t="s">
        <v>101</v>
      </c>
      <c r="E420" s="170" t="s">
        <v>102</v>
      </c>
      <c r="F420" s="196">
        <v>2249977.76</v>
      </c>
      <c r="G420" s="198">
        <v>2246332.72</v>
      </c>
      <c r="H420" s="203">
        <f t="shared" si="10"/>
        <v>99.83799662090884</v>
      </c>
    </row>
    <row r="421" spans="1:8" ht="24.75" customHeight="1">
      <c r="A421" s="187" t="s">
        <v>324</v>
      </c>
      <c r="B421" s="187" t="s">
        <v>310</v>
      </c>
      <c r="C421" s="187" t="s">
        <v>325</v>
      </c>
      <c r="D421" s="200"/>
      <c r="E421" s="170" t="s">
        <v>326</v>
      </c>
      <c r="F421" s="196">
        <f>F422+F424+F426</f>
        <v>2471964</v>
      </c>
      <c r="G421" s="196">
        <f>G422+G424+G426</f>
        <v>2447453</v>
      </c>
      <c r="H421" s="203">
        <f t="shared" si="10"/>
        <v>99.00844025236614</v>
      </c>
    </row>
    <row r="422" spans="1:8" ht="72" customHeight="1">
      <c r="A422" s="187" t="s">
        <v>327</v>
      </c>
      <c r="B422" s="187" t="s">
        <v>310</v>
      </c>
      <c r="C422" s="187" t="s">
        <v>328</v>
      </c>
      <c r="D422" s="200"/>
      <c r="E422" s="170" t="s">
        <v>329</v>
      </c>
      <c r="F422" s="196">
        <f>F423</f>
        <v>2199974</v>
      </c>
      <c r="G422" s="196">
        <f>G423</f>
        <v>2175463</v>
      </c>
      <c r="H422" s="203">
        <f t="shared" si="10"/>
        <v>98.88585046914191</v>
      </c>
    </row>
    <row r="423" spans="1:8" ht="21" customHeight="1">
      <c r="A423" s="187" t="s">
        <v>330</v>
      </c>
      <c r="B423" s="187" t="s">
        <v>310</v>
      </c>
      <c r="C423" s="187" t="s">
        <v>328</v>
      </c>
      <c r="D423" s="200" t="s">
        <v>950</v>
      </c>
      <c r="E423" s="170" t="s">
        <v>951</v>
      </c>
      <c r="F423" s="201">
        <f>1617974+592000+70000-80000</f>
        <v>2199974</v>
      </c>
      <c r="G423" s="198">
        <v>2175463</v>
      </c>
      <c r="H423" s="203">
        <f t="shared" si="10"/>
        <v>98.88585046914191</v>
      </c>
    </row>
    <row r="424" spans="1:8" ht="82.5" customHeight="1">
      <c r="A424" s="187" t="s">
        <v>331</v>
      </c>
      <c r="B424" s="187" t="s">
        <v>310</v>
      </c>
      <c r="C424" s="187" t="s">
        <v>332</v>
      </c>
      <c r="D424" s="200"/>
      <c r="E424" s="170" t="s">
        <v>333</v>
      </c>
      <c r="F424" s="201">
        <f>F425</f>
        <v>160000</v>
      </c>
      <c r="G424" s="201">
        <f>G425</f>
        <v>160000</v>
      </c>
      <c r="H424" s="203">
        <f t="shared" si="10"/>
        <v>100</v>
      </c>
    </row>
    <row r="425" spans="1:8" ht="24" customHeight="1">
      <c r="A425" s="187" t="s">
        <v>334</v>
      </c>
      <c r="B425" s="187" t="s">
        <v>310</v>
      </c>
      <c r="C425" s="187" t="s">
        <v>332</v>
      </c>
      <c r="D425" s="200" t="s">
        <v>950</v>
      </c>
      <c r="E425" s="170" t="s">
        <v>951</v>
      </c>
      <c r="F425" s="201">
        <f>100000+60000</f>
        <v>160000</v>
      </c>
      <c r="G425" s="198">
        <v>160000</v>
      </c>
      <c r="H425" s="203">
        <f t="shared" si="10"/>
        <v>100</v>
      </c>
    </row>
    <row r="426" spans="1:8" ht="24" customHeight="1">
      <c r="A426" s="187" t="s">
        <v>335</v>
      </c>
      <c r="B426" s="187" t="s">
        <v>310</v>
      </c>
      <c r="C426" s="187" t="s">
        <v>336</v>
      </c>
      <c r="D426" s="200"/>
      <c r="E426" s="210" t="s">
        <v>337</v>
      </c>
      <c r="F426" s="201">
        <f>F427</f>
        <v>111990</v>
      </c>
      <c r="G426" s="198">
        <v>111990</v>
      </c>
      <c r="H426" s="203">
        <f t="shared" si="10"/>
        <v>100</v>
      </c>
    </row>
    <row r="427" spans="1:8" ht="20.25" customHeight="1">
      <c r="A427" s="187" t="s">
        <v>338</v>
      </c>
      <c r="B427" s="187" t="s">
        <v>310</v>
      </c>
      <c r="C427" s="187" t="s">
        <v>336</v>
      </c>
      <c r="D427" s="200" t="s">
        <v>950</v>
      </c>
      <c r="E427" s="170" t="s">
        <v>951</v>
      </c>
      <c r="F427" s="201">
        <f>1244840-592000-63790-477060</f>
        <v>111990</v>
      </c>
      <c r="G427" s="198">
        <v>111990</v>
      </c>
      <c r="H427" s="203">
        <f t="shared" si="10"/>
        <v>100</v>
      </c>
    </row>
    <row r="428" spans="1:8" ht="36" customHeight="1">
      <c r="A428" s="187" t="s">
        <v>339</v>
      </c>
      <c r="B428" s="187" t="s">
        <v>310</v>
      </c>
      <c r="C428" s="187" t="s">
        <v>340</v>
      </c>
      <c r="D428" s="200"/>
      <c r="E428" s="170" t="s">
        <v>341</v>
      </c>
      <c r="F428" s="201">
        <f>F429+F431+F434</f>
        <v>6917736</v>
      </c>
      <c r="G428" s="201">
        <f>G429+G431+G434</f>
        <v>6891698.63</v>
      </c>
      <c r="H428" s="203">
        <f t="shared" si="10"/>
        <v>99.6236142865238</v>
      </c>
    </row>
    <row r="429" spans="1:8" ht="48.75" customHeight="1">
      <c r="A429" s="187" t="s">
        <v>342</v>
      </c>
      <c r="B429" s="187" t="s">
        <v>310</v>
      </c>
      <c r="C429" s="187" t="s">
        <v>343</v>
      </c>
      <c r="D429" s="200"/>
      <c r="E429" s="170" t="s">
        <v>344</v>
      </c>
      <c r="F429" s="196">
        <f>F430</f>
        <v>6725638</v>
      </c>
      <c r="G429" s="196">
        <f>G430</f>
        <v>6699600.63</v>
      </c>
      <c r="H429" s="203">
        <f t="shared" si="10"/>
        <v>99.6128639394508</v>
      </c>
    </row>
    <row r="430" spans="1:8" ht="27.75" customHeight="1">
      <c r="A430" s="187" t="s">
        <v>345</v>
      </c>
      <c r="B430" s="187" t="s">
        <v>310</v>
      </c>
      <c r="C430" s="187" t="s">
        <v>343</v>
      </c>
      <c r="D430" s="200" t="s">
        <v>950</v>
      </c>
      <c r="E430" s="170" t="s">
        <v>951</v>
      </c>
      <c r="F430" s="196">
        <f>6132198+570400+23040</f>
        <v>6725638</v>
      </c>
      <c r="G430" s="198">
        <v>6699600.63</v>
      </c>
      <c r="H430" s="203">
        <f t="shared" si="10"/>
        <v>99.6128639394508</v>
      </c>
    </row>
    <row r="431" spans="1:8" ht="130.5" customHeight="1">
      <c r="A431" s="187" t="s">
        <v>346</v>
      </c>
      <c r="B431" s="187" t="s">
        <v>310</v>
      </c>
      <c r="C431" s="187" t="s">
        <v>347</v>
      </c>
      <c r="D431" s="200"/>
      <c r="E431" s="240" t="s">
        <v>348</v>
      </c>
      <c r="F431" s="201">
        <f>F432</f>
        <v>177498</v>
      </c>
      <c r="G431" s="201">
        <f>G432</f>
        <v>177498</v>
      </c>
      <c r="H431" s="203">
        <f t="shared" si="10"/>
        <v>100</v>
      </c>
    </row>
    <row r="432" spans="1:8" ht="25.5" customHeight="1">
      <c r="A432" s="187" t="s">
        <v>349</v>
      </c>
      <c r="B432" s="187" t="s">
        <v>310</v>
      </c>
      <c r="C432" s="187" t="s">
        <v>347</v>
      </c>
      <c r="D432" s="200" t="s">
        <v>950</v>
      </c>
      <c r="E432" s="170" t="s">
        <v>951</v>
      </c>
      <c r="F432" s="201">
        <v>177498</v>
      </c>
      <c r="G432" s="201">
        <v>177498</v>
      </c>
      <c r="H432" s="203">
        <f t="shared" si="10"/>
        <v>100</v>
      </c>
    </row>
    <row r="433" spans="1:8" ht="73.5" customHeight="1">
      <c r="A433" s="187" t="s">
        <v>350</v>
      </c>
      <c r="B433" s="187" t="s">
        <v>310</v>
      </c>
      <c r="C433" s="187" t="s">
        <v>351</v>
      </c>
      <c r="D433" s="200"/>
      <c r="E433" s="170" t="s">
        <v>352</v>
      </c>
      <c r="F433" s="201">
        <f>F434</f>
        <v>14600</v>
      </c>
      <c r="G433" s="201">
        <f>G434</f>
        <v>14600</v>
      </c>
      <c r="H433" s="203">
        <f t="shared" si="10"/>
        <v>100</v>
      </c>
    </row>
    <row r="434" spans="1:8" ht="25.5" customHeight="1">
      <c r="A434" s="187" t="s">
        <v>353</v>
      </c>
      <c r="B434" s="187" t="s">
        <v>310</v>
      </c>
      <c r="C434" s="187" t="s">
        <v>351</v>
      </c>
      <c r="D434" s="200" t="s">
        <v>950</v>
      </c>
      <c r="E434" s="170" t="s">
        <v>951</v>
      </c>
      <c r="F434" s="201">
        <v>14600</v>
      </c>
      <c r="G434" s="198">
        <v>14600</v>
      </c>
      <c r="H434" s="203">
        <f t="shared" si="10"/>
        <v>100</v>
      </c>
    </row>
    <row r="435" spans="1:8" ht="35.25" customHeight="1">
      <c r="A435" s="187" t="s">
        <v>354</v>
      </c>
      <c r="B435" s="188" t="s">
        <v>355</v>
      </c>
      <c r="C435" s="188"/>
      <c r="D435" s="189"/>
      <c r="E435" s="241" t="s">
        <v>356</v>
      </c>
      <c r="F435" s="242">
        <f>F436</f>
        <v>2956357</v>
      </c>
      <c r="G435" s="242">
        <f>G436</f>
        <v>2950125.4000000004</v>
      </c>
      <c r="H435" s="206">
        <f t="shared" si="10"/>
        <v>99.78921354897263</v>
      </c>
    </row>
    <row r="436" spans="1:8" ht="35.25" customHeight="1">
      <c r="A436" s="187" t="s">
        <v>357</v>
      </c>
      <c r="B436" s="187" t="s">
        <v>355</v>
      </c>
      <c r="C436" s="187" t="s">
        <v>313</v>
      </c>
      <c r="D436" s="189"/>
      <c r="E436" s="170" t="s">
        <v>314</v>
      </c>
      <c r="F436" s="242">
        <f>F437</f>
        <v>2956357</v>
      </c>
      <c r="G436" s="242">
        <f>G437</f>
        <v>2950125.4000000004</v>
      </c>
      <c r="H436" s="206">
        <f t="shared" si="10"/>
        <v>99.78921354897263</v>
      </c>
    </row>
    <row r="437" spans="1:8" ht="54" customHeight="1">
      <c r="A437" s="187" t="s">
        <v>358</v>
      </c>
      <c r="B437" s="187" t="s">
        <v>355</v>
      </c>
      <c r="C437" s="187" t="s">
        <v>359</v>
      </c>
      <c r="D437" s="200"/>
      <c r="E437" s="170" t="s">
        <v>360</v>
      </c>
      <c r="F437" s="201">
        <f>F438+F442+F444+F446+F448</f>
        <v>2956357</v>
      </c>
      <c r="G437" s="201">
        <f>G438+G442+G444+G446+G448</f>
        <v>2950125.4000000004</v>
      </c>
      <c r="H437" s="203">
        <f t="shared" si="10"/>
        <v>99.78921354897263</v>
      </c>
    </row>
    <row r="438" spans="1:8" ht="39" customHeight="1">
      <c r="A438" s="187" t="s">
        <v>361</v>
      </c>
      <c r="B438" s="187" t="s">
        <v>355</v>
      </c>
      <c r="C438" s="187" t="s">
        <v>362</v>
      </c>
      <c r="D438" s="200"/>
      <c r="E438" s="210" t="s">
        <v>363</v>
      </c>
      <c r="F438" s="201">
        <f>SUM(F439:F441)</f>
        <v>827321</v>
      </c>
      <c r="G438" s="201">
        <f>SUM(G439:G441)</f>
        <v>821293.39</v>
      </c>
      <c r="H438" s="203">
        <f t="shared" si="10"/>
        <v>99.27143031543983</v>
      </c>
    </row>
    <row r="439" spans="1:8" ht="33" customHeight="1">
      <c r="A439" s="187" t="s">
        <v>364</v>
      </c>
      <c r="B439" s="187" t="s">
        <v>355</v>
      </c>
      <c r="C439" s="187" t="s">
        <v>362</v>
      </c>
      <c r="D439" s="200" t="s">
        <v>876</v>
      </c>
      <c r="E439" s="170" t="s">
        <v>877</v>
      </c>
      <c r="F439" s="201">
        <f>777580+42541</f>
        <v>820121</v>
      </c>
      <c r="G439" s="198">
        <v>814093.39</v>
      </c>
      <c r="H439" s="203">
        <f t="shared" si="10"/>
        <v>99.26503406204694</v>
      </c>
    </row>
    <row r="440" spans="1:8" ht="48" customHeight="1">
      <c r="A440" s="187" t="s">
        <v>365</v>
      </c>
      <c r="B440" s="187" t="s">
        <v>355</v>
      </c>
      <c r="C440" s="187" t="s">
        <v>362</v>
      </c>
      <c r="D440" s="200" t="s">
        <v>882</v>
      </c>
      <c r="E440" s="204" t="s">
        <v>883</v>
      </c>
      <c r="F440" s="201">
        <f>8400-8400+2400</f>
        <v>2400</v>
      </c>
      <c r="G440" s="198">
        <v>2400</v>
      </c>
      <c r="H440" s="203">
        <f t="shared" si="10"/>
        <v>100</v>
      </c>
    </row>
    <row r="441" spans="1:8" ht="23.25" customHeight="1">
      <c r="A441" s="187" t="s">
        <v>366</v>
      </c>
      <c r="B441" s="187" t="s">
        <v>355</v>
      </c>
      <c r="C441" s="187" t="s">
        <v>362</v>
      </c>
      <c r="D441" s="200" t="s">
        <v>891</v>
      </c>
      <c r="E441" s="170" t="s">
        <v>892</v>
      </c>
      <c r="F441" s="201">
        <v>4800</v>
      </c>
      <c r="G441" s="198">
        <v>4800</v>
      </c>
      <c r="H441" s="203">
        <f t="shared" si="10"/>
        <v>100</v>
      </c>
    </row>
    <row r="442" spans="1:8" ht="24.75" customHeight="1">
      <c r="A442" s="187" t="s">
        <v>367</v>
      </c>
      <c r="B442" s="187" t="s">
        <v>355</v>
      </c>
      <c r="C442" s="187" t="s">
        <v>368</v>
      </c>
      <c r="D442" s="200"/>
      <c r="E442" s="170" t="s">
        <v>369</v>
      </c>
      <c r="F442" s="201">
        <f>F443</f>
        <v>1742436.3599999999</v>
      </c>
      <c r="G442" s="201">
        <v>1742234.36</v>
      </c>
      <c r="H442" s="203">
        <f t="shared" si="10"/>
        <v>99.98840703714426</v>
      </c>
    </row>
    <row r="443" spans="1:8" ht="48.75" customHeight="1">
      <c r="A443" s="187" t="s">
        <v>370</v>
      </c>
      <c r="B443" s="187" t="s">
        <v>355</v>
      </c>
      <c r="C443" s="187" t="s">
        <v>368</v>
      </c>
      <c r="D443" s="200" t="s">
        <v>882</v>
      </c>
      <c r="E443" s="204" t="s">
        <v>883</v>
      </c>
      <c r="F443" s="196">
        <f>2300000-600000-100000-212999.64+8400+297060+50000+49717-42541-3300-3900</f>
        <v>1742436.3599999999</v>
      </c>
      <c r="G443" s="201">
        <v>1742234.36</v>
      </c>
      <c r="H443" s="203">
        <f t="shared" si="10"/>
        <v>99.98840703714426</v>
      </c>
    </row>
    <row r="444" spans="1:8" ht="33" customHeight="1">
      <c r="A444" s="187" t="s">
        <v>371</v>
      </c>
      <c r="B444" s="187" t="s">
        <v>355</v>
      </c>
      <c r="C444" s="187" t="s">
        <v>372</v>
      </c>
      <c r="D444" s="200"/>
      <c r="E444" s="170" t="s">
        <v>373</v>
      </c>
      <c r="F444" s="201">
        <f>F445</f>
        <v>63600</v>
      </c>
      <c r="G444" s="198">
        <f>G445</f>
        <v>63599.22</v>
      </c>
      <c r="H444" s="203">
        <f t="shared" si="10"/>
        <v>99.99877358490566</v>
      </c>
    </row>
    <row r="445" spans="1:8" ht="47.25" customHeight="1">
      <c r="A445" s="187" t="s">
        <v>374</v>
      </c>
      <c r="B445" s="187" t="s">
        <v>355</v>
      </c>
      <c r="C445" s="187" t="s">
        <v>372</v>
      </c>
      <c r="D445" s="200" t="s">
        <v>882</v>
      </c>
      <c r="E445" s="204" t="s">
        <v>883</v>
      </c>
      <c r="F445" s="196">
        <v>63600</v>
      </c>
      <c r="G445" s="198">
        <v>63599.22</v>
      </c>
      <c r="H445" s="203">
        <f t="shared" si="10"/>
        <v>99.99877358490566</v>
      </c>
    </row>
    <row r="446" spans="1:8" ht="23.25" customHeight="1">
      <c r="A446" s="187" t="s">
        <v>375</v>
      </c>
      <c r="B446" s="187" t="s">
        <v>355</v>
      </c>
      <c r="C446" s="187" t="s">
        <v>376</v>
      </c>
      <c r="D446" s="200"/>
      <c r="E446" s="170" t="s">
        <v>885</v>
      </c>
      <c r="F446" s="196">
        <f>F447</f>
        <v>212999.64</v>
      </c>
      <c r="G446" s="196">
        <f>G447</f>
        <v>212999.64</v>
      </c>
      <c r="H446" s="203">
        <f t="shared" si="10"/>
        <v>100</v>
      </c>
    </row>
    <row r="447" spans="1:8" ht="53.25" customHeight="1">
      <c r="A447" s="187" t="s">
        <v>377</v>
      </c>
      <c r="B447" s="187" t="s">
        <v>355</v>
      </c>
      <c r="C447" s="187" t="s">
        <v>376</v>
      </c>
      <c r="D447" s="200" t="s">
        <v>882</v>
      </c>
      <c r="E447" s="204" t="s">
        <v>883</v>
      </c>
      <c r="F447" s="196">
        <v>212999.64</v>
      </c>
      <c r="G447" s="196">
        <v>212999.64</v>
      </c>
      <c r="H447" s="203">
        <f t="shared" si="10"/>
        <v>100</v>
      </c>
    </row>
    <row r="448" spans="1:8" ht="24" customHeight="1">
      <c r="A448" s="187" t="s">
        <v>378</v>
      </c>
      <c r="B448" s="187" t="s">
        <v>355</v>
      </c>
      <c r="C448" s="187" t="s">
        <v>379</v>
      </c>
      <c r="D448" s="200"/>
      <c r="E448" s="170" t="s">
        <v>380</v>
      </c>
      <c r="F448" s="196">
        <f>SUM(F449,F450)</f>
        <v>110000</v>
      </c>
      <c r="G448" s="196">
        <f>SUM(G449,G450)</f>
        <v>109998.79</v>
      </c>
      <c r="H448" s="203">
        <f t="shared" si="10"/>
        <v>99.99889999999999</v>
      </c>
    </row>
    <row r="449" spans="1:8" ht="39.75" customHeight="1">
      <c r="A449" s="187" t="s">
        <v>381</v>
      </c>
      <c r="B449" s="187" t="s">
        <v>355</v>
      </c>
      <c r="C449" s="187" t="s">
        <v>379</v>
      </c>
      <c r="D449" s="200" t="s">
        <v>946</v>
      </c>
      <c r="E449" s="170" t="s">
        <v>947</v>
      </c>
      <c r="F449" s="196">
        <v>107434</v>
      </c>
      <c r="G449" s="198">
        <v>107432.79</v>
      </c>
      <c r="H449" s="203">
        <f t="shared" si="10"/>
        <v>99.99887372712548</v>
      </c>
    </row>
    <row r="450" spans="1:8" ht="57" customHeight="1">
      <c r="A450" s="187" t="s">
        <v>382</v>
      </c>
      <c r="B450" s="187" t="s">
        <v>355</v>
      </c>
      <c r="C450" s="187" t="s">
        <v>379</v>
      </c>
      <c r="D450" s="200" t="s">
        <v>882</v>
      </c>
      <c r="E450" s="204" t="s">
        <v>883</v>
      </c>
      <c r="F450" s="196">
        <v>2566</v>
      </c>
      <c r="G450" s="198">
        <v>2566</v>
      </c>
      <c r="H450" s="203">
        <f t="shared" si="10"/>
        <v>100</v>
      </c>
    </row>
    <row r="451" spans="1:8" ht="23.25" customHeight="1">
      <c r="A451" s="187" t="s">
        <v>383</v>
      </c>
      <c r="B451" s="188" t="s">
        <v>384</v>
      </c>
      <c r="C451" s="188"/>
      <c r="D451" s="189"/>
      <c r="E451" s="194" t="s">
        <v>385</v>
      </c>
      <c r="F451" s="191">
        <f>F452+F476</f>
        <v>28549990</v>
      </c>
      <c r="G451" s="191">
        <f>G452+G476</f>
        <v>26024661.349999998</v>
      </c>
      <c r="H451" s="206">
        <f t="shared" si="10"/>
        <v>91.15471266364716</v>
      </c>
    </row>
    <row r="452" spans="1:8" ht="23.25" customHeight="1">
      <c r="A452" s="187" t="s">
        <v>386</v>
      </c>
      <c r="B452" s="188" t="s">
        <v>387</v>
      </c>
      <c r="C452" s="188"/>
      <c r="D452" s="189"/>
      <c r="E452" s="194" t="s">
        <v>388</v>
      </c>
      <c r="F452" s="191">
        <f>F453+F466</f>
        <v>25991043</v>
      </c>
      <c r="G452" s="191">
        <f>G453+G466</f>
        <v>24527318.049999997</v>
      </c>
      <c r="H452" s="206">
        <f t="shared" si="10"/>
        <v>94.36834854992159</v>
      </c>
    </row>
    <row r="453" spans="1:8" ht="68.25" customHeight="1">
      <c r="A453" s="187" t="s">
        <v>389</v>
      </c>
      <c r="B453" s="187" t="s">
        <v>387</v>
      </c>
      <c r="C453" s="187" t="s">
        <v>390</v>
      </c>
      <c r="D453" s="200"/>
      <c r="E453" s="170" t="s">
        <v>391</v>
      </c>
      <c r="F453" s="243">
        <f>F454+F461</f>
        <v>1350200</v>
      </c>
      <c r="G453" s="243">
        <f>G454+G461</f>
        <v>1100200</v>
      </c>
      <c r="H453" s="203">
        <f t="shared" si="10"/>
        <v>81.48422455932455</v>
      </c>
    </row>
    <row r="454" spans="1:8" ht="50.25" customHeight="1">
      <c r="A454" s="187" t="s">
        <v>392</v>
      </c>
      <c r="B454" s="187" t="s">
        <v>387</v>
      </c>
      <c r="C454" s="187" t="s">
        <v>393</v>
      </c>
      <c r="D454" s="200"/>
      <c r="E454" s="204" t="s">
        <v>394</v>
      </c>
      <c r="F454" s="201">
        <f>F455+F457+F459</f>
        <v>1170200</v>
      </c>
      <c r="G454" s="201">
        <f>G455+G457+G459</f>
        <v>970200</v>
      </c>
      <c r="H454" s="203">
        <f t="shared" si="10"/>
        <v>82.90890446077593</v>
      </c>
    </row>
    <row r="455" spans="1:8" ht="50.25" customHeight="1">
      <c r="A455" s="187" t="s">
        <v>395</v>
      </c>
      <c r="B455" s="187" t="s">
        <v>387</v>
      </c>
      <c r="C455" s="187" t="s">
        <v>396</v>
      </c>
      <c r="D455" s="200"/>
      <c r="E455" s="226" t="s">
        <v>397</v>
      </c>
      <c r="F455" s="201">
        <f>F456</f>
        <v>488000</v>
      </c>
      <c r="G455" s="201">
        <f>G456</f>
        <v>288000</v>
      </c>
      <c r="H455" s="203">
        <f aca="true" t="shared" si="11" ref="H455:H518">G455/F455*100</f>
        <v>59.01639344262295</v>
      </c>
    </row>
    <row r="456" spans="1:8" ht="35.25" customHeight="1">
      <c r="A456" s="187" t="s">
        <v>398</v>
      </c>
      <c r="B456" s="187" t="s">
        <v>387</v>
      </c>
      <c r="C456" s="187" t="s">
        <v>396</v>
      </c>
      <c r="D456" s="200" t="s">
        <v>940</v>
      </c>
      <c r="E456" s="204" t="s">
        <v>245</v>
      </c>
      <c r="F456" s="201">
        <v>488000</v>
      </c>
      <c r="G456" s="198">
        <v>288000</v>
      </c>
      <c r="H456" s="203">
        <f t="shared" si="11"/>
        <v>59.01639344262295</v>
      </c>
    </row>
    <row r="457" spans="1:8" ht="48.75" customHeight="1">
      <c r="A457" s="187" t="s">
        <v>399</v>
      </c>
      <c r="B457" s="187" t="s">
        <v>387</v>
      </c>
      <c r="C457" s="187" t="s">
        <v>400</v>
      </c>
      <c r="D457" s="200"/>
      <c r="E457" s="226" t="s">
        <v>401</v>
      </c>
      <c r="F457" s="201">
        <f>F458</f>
        <v>434000</v>
      </c>
      <c r="G457" s="201">
        <f>G458</f>
        <v>434000</v>
      </c>
      <c r="H457" s="203">
        <f t="shared" si="11"/>
        <v>100</v>
      </c>
    </row>
    <row r="458" spans="1:8" ht="48.75" customHeight="1">
      <c r="A458" s="187" t="s">
        <v>402</v>
      </c>
      <c r="B458" s="187" t="s">
        <v>387</v>
      </c>
      <c r="C458" s="187" t="s">
        <v>400</v>
      </c>
      <c r="D458" s="200" t="s">
        <v>940</v>
      </c>
      <c r="E458" s="204" t="s">
        <v>941</v>
      </c>
      <c r="F458" s="201">
        <f>437900-3900</f>
        <v>434000</v>
      </c>
      <c r="G458" s="201">
        <f>437900-3900</f>
        <v>434000</v>
      </c>
      <c r="H458" s="203">
        <f t="shared" si="11"/>
        <v>100</v>
      </c>
    </row>
    <row r="459" spans="1:8" ht="64.5" customHeight="1">
      <c r="A459" s="187" t="s">
        <v>403</v>
      </c>
      <c r="B459" s="187" t="s">
        <v>387</v>
      </c>
      <c r="C459" s="187" t="s">
        <v>404</v>
      </c>
      <c r="D459" s="200"/>
      <c r="E459" s="204" t="s">
        <v>405</v>
      </c>
      <c r="F459" s="201">
        <f>F460</f>
        <v>248200</v>
      </c>
      <c r="G459" s="201">
        <f>G460</f>
        <v>248200</v>
      </c>
      <c r="H459" s="203">
        <f t="shared" si="11"/>
        <v>100</v>
      </c>
    </row>
    <row r="460" spans="1:8" ht="43.5" customHeight="1">
      <c r="A460" s="187" t="s">
        <v>406</v>
      </c>
      <c r="B460" s="187" t="s">
        <v>387</v>
      </c>
      <c r="C460" s="187" t="s">
        <v>404</v>
      </c>
      <c r="D460" s="200" t="s">
        <v>940</v>
      </c>
      <c r="E460" s="204" t="s">
        <v>941</v>
      </c>
      <c r="F460" s="201">
        <v>248200</v>
      </c>
      <c r="G460" s="201">
        <v>248200</v>
      </c>
      <c r="H460" s="203">
        <f t="shared" si="11"/>
        <v>100</v>
      </c>
    </row>
    <row r="461" spans="1:8" ht="81" customHeight="1">
      <c r="A461" s="187" t="s">
        <v>407</v>
      </c>
      <c r="B461" s="187" t="s">
        <v>387</v>
      </c>
      <c r="C461" s="187" t="s">
        <v>408</v>
      </c>
      <c r="D461" s="200"/>
      <c r="E461" s="170" t="s">
        <v>409</v>
      </c>
      <c r="F461" s="201">
        <f>F462+F464</f>
        <v>180000</v>
      </c>
      <c r="G461" s="201">
        <f>G462+G464</f>
        <v>130000</v>
      </c>
      <c r="H461" s="203">
        <f t="shared" si="11"/>
        <v>72.22222222222221</v>
      </c>
    </row>
    <row r="462" spans="1:8" ht="67.5" customHeight="1">
      <c r="A462" s="187" t="s">
        <v>410</v>
      </c>
      <c r="B462" s="187" t="s">
        <v>387</v>
      </c>
      <c r="C462" s="187" t="s">
        <v>411</v>
      </c>
      <c r="D462" s="200"/>
      <c r="E462" s="226" t="s">
        <v>412</v>
      </c>
      <c r="F462" s="201">
        <f>F463</f>
        <v>160000</v>
      </c>
      <c r="G462" s="198">
        <v>130000</v>
      </c>
      <c r="H462" s="203">
        <f t="shared" si="11"/>
        <v>81.25</v>
      </c>
    </row>
    <row r="463" spans="1:8" ht="33.75" customHeight="1">
      <c r="A463" s="187" t="s">
        <v>413</v>
      </c>
      <c r="B463" s="187" t="s">
        <v>387</v>
      </c>
      <c r="C463" s="187" t="s">
        <v>411</v>
      </c>
      <c r="D463" s="200" t="s">
        <v>142</v>
      </c>
      <c r="E463" s="204" t="s">
        <v>414</v>
      </c>
      <c r="F463" s="201">
        <v>160000</v>
      </c>
      <c r="G463" s="198">
        <v>130000</v>
      </c>
      <c r="H463" s="203">
        <f t="shared" si="11"/>
        <v>81.25</v>
      </c>
    </row>
    <row r="464" spans="1:8" ht="54.75" customHeight="1">
      <c r="A464" s="187" t="s">
        <v>415</v>
      </c>
      <c r="B464" s="187" t="s">
        <v>387</v>
      </c>
      <c r="C464" s="187" t="s">
        <v>416</v>
      </c>
      <c r="D464" s="200"/>
      <c r="E464" s="204" t="s">
        <v>417</v>
      </c>
      <c r="F464" s="201">
        <f>F465</f>
        <v>20000</v>
      </c>
      <c r="G464" s="198">
        <v>0</v>
      </c>
      <c r="H464" s="203">
        <f t="shared" si="11"/>
        <v>0</v>
      </c>
    </row>
    <row r="465" spans="1:8" ht="33" customHeight="1">
      <c r="A465" s="187" t="s">
        <v>418</v>
      </c>
      <c r="B465" s="187" t="s">
        <v>387</v>
      </c>
      <c r="C465" s="187" t="s">
        <v>416</v>
      </c>
      <c r="D465" s="200" t="s">
        <v>142</v>
      </c>
      <c r="E465" s="204" t="s">
        <v>419</v>
      </c>
      <c r="F465" s="201">
        <v>20000</v>
      </c>
      <c r="G465" s="198">
        <v>0</v>
      </c>
      <c r="H465" s="203">
        <f t="shared" si="11"/>
        <v>0</v>
      </c>
    </row>
    <row r="466" spans="1:8" ht="21.75" customHeight="1">
      <c r="A466" s="187" t="s">
        <v>420</v>
      </c>
      <c r="B466" s="187" t="s">
        <v>387</v>
      </c>
      <c r="C466" s="187" t="s">
        <v>872</v>
      </c>
      <c r="D466" s="189"/>
      <c r="E466" s="170" t="s">
        <v>873</v>
      </c>
      <c r="F466" s="196">
        <f>F467+F470+F473</f>
        <v>24640843</v>
      </c>
      <c r="G466" s="196">
        <f>G467+G470+G473</f>
        <v>23427118.049999997</v>
      </c>
      <c r="H466" s="203">
        <f t="shared" si="11"/>
        <v>95.0743367424564</v>
      </c>
    </row>
    <row r="467" spans="1:8" ht="176.25" customHeight="1">
      <c r="A467" s="187" t="s">
        <v>421</v>
      </c>
      <c r="B467" s="187" t="s">
        <v>387</v>
      </c>
      <c r="C467" s="187" t="s">
        <v>422</v>
      </c>
      <c r="D467" s="200"/>
      <c r="E467" s="170" t="s">
        <v>423</v>
      </c>
      <c r="F467" s="196">
        <f>SUM(F468:F469)</f>
        <v>1638893</v>
      </c>
      <c r="G467" s="196">
        <f>SUM(G468:G469)</f>
        <v>1082354.37</v>
      </c>
      <c r="H467" s="203">
        <f t="shared" si="11"/>
        <v>66.04179589515607</v>
      </c>
    </row>
    <row r="468" spans="1:8" ht="48" customHeight="1">
      <c r="A468" s="187" t="s">
        <v>424</v>
      </c>
      <c r="B468" s="187" t="s">
        <v>387</v>
      </c>
      <c r="C468" s="187" t="s">
        <v>422</v>
      </c>
      <c r="D468" s="200" t="s">
        <v>882</v>
      </c>
      <c r="E468" s="204" t="s">
        <v>883</v>
      </c>
      <c r="F468" s="196">
        <v>18953</v>
      </c>
      <c r="G468" s="198">
        <v>12517.09</v>
      </c>
      <c r="H468" s="203">
        <f t="shared" si="11"/>
        <v>66.04279005962117</v>
      </c>
    </row>
    <row r="469" spans="1:8" ht="48" customHeight="1">
      <c r="A469" s="187" t="s">
        <v>425</v>
      </c>
      <c r="B469" s="187" t="s">
        <v>387</v>
      </c>
      <c r="C469" s="187" t="s">
        <v>422</v>
      </c>
      <c r="D469" s="200" t="s">
        <v>940</v>
      </c>
      <c r="E469" s="204" t="s">
        <v>941</v>
      </c>
      <c r="F469" s="196">
        <v>1619940</v>
      </c>
      <c r="G469" s="198">
        <v>1069837.28</v>
      </c>
      <c r="H469" s="203">
        <f t="shared" si="11"/>
        <v>66.0417842636147</v>
      </c>
    </row>
    <row r="470" spans="1:8" ht="210" customHeight="1">
      <c r="A470" s="187" t="s">
        <v>426</v>
      </c>
      <c r="B470" s="187" t="s">
        <v>387</v>
      </c>
      <c r="C470" s="187" t="s">
        <v>427</v>
      </c>
      <c r="D470" s="200"/>
      <c r="E470" s="244" t="s">
        <v>428</v>
      </c>
      <c r="F470" s="196">
        <f>SUM(F471:F472)</f>
        <v>15534950</v>
      </c>
      <c r="G470" s="198">
        <f>SUM(G471:G472)</f>
        <v>15480085.92</v>
      </c>
      <c r="H470" s="203">
        <f t="shared" si="11"/>
        <v>99.64683452473294</v>
      </c>
    </row>
    <row r="471" spans="1:8" ht="48.75" customHeight="1">
      <c r="A471" s="187" t="s">
        <v>429</v>
      </c>
      <c r="B471" s="187" t="s">
        <v>387</v>
      </c>
      <c r="C471" s="187" t="s">
        <v>427</v>
      </c>
      <c r="D471" s="200" t="s">
        <v>882</v>
      </c>
      <c r="E471" s="204" t="s">
        <v>920</v>
      </c>
      <c r="F471" s="196">
        <v>208168</v>
      </c>
      <c r="G471" s="198">
        <v>181554.9</v>
      </c>
      <c r="H471" s="203">
        <f t="shared" si="11"/>
        <v>87.21556627339456</v>
      </c>
    </row>
    <row r="472" spans="1:8" ht="51" customHeight="1">
      <c r="A472" s="187" t="s">
        <v>430</v>
      </c>
      <c r="B472" s="187" t="s">
        <v>387</v>
      </c>
      <c r="C472" s="187" t="s">
        <v>427</v>
      </c>
      <c r="D472" s="200" t="s">
        <v>940</v>
      </c>
      <c r="E472" s="204" t="s">
        <v>941</v>
      </c>
      <c r="F472" s="196">
        <v>15326782</v>
      </c>
      <c r="G472" s="198">
        <v>15298531.02</v>
      </c>
      <c r="H472" s="203">
        <f t="shared" si="11"/>
        <v>99.8156757237103</v>
      </c>
    </row>
    <row r="473" spans="1:8" ht="190.5" customHeight="1">
      <c r="A473" s="187" t="s">
        <v>431</v>
      </c>
      <c r="B473" s="187" t="s">
        <v>387</v>
      </c>
      <c r="C473" s="245" t="s">
        <v>432</v>
      </c>
      <c r="D473" s="189"/>
      <c r="E473" s="246" t="s">
        <v>433</v>
      </c>
      <c r="F473" s="196">
        <f>SUM(F474:F475)</f>
        <v>7467000</v>
      </c>
      <c r="G473" s="198">
        <f>SUM(G474:G475)</f>
        <v>6864677.76</v>
      </c>
      <c r="H473" s="203">
        <f t="shared" si="11"/>
        <v>91.9335443953395</v>
      </c>
    </row>
    <row r="474" spans="1:8" ht="46.5" customHeight="1">
      <c r="A474" s="187" t="s">
        <v>434</v>
      </c>
      <c r="B474" s="187" t="s">
        <v>387</v>
      </c>
      <c r="C474" s="245" t="s">
        <v>432</v>
      </c>
      <c r="D474" s="200" t="s">
        <v>882</v>
      </c>
      <c r="E474" s="204" t="s">
        <v>920</v>
      </c>
      <c r="F474" s="196">
        <v>108650</v>
      </c>
      <c r="G474" s="198">
        <v>80841.76</v>
      </c>
      <c r="H474" s="203">
        <f t="shared" si="11"/>
        <v>74.4056695812241</v>
      </c>
    </row>
    <row r="475" spans="1:8" ht="38.25" customHeight="1">
      <c r="A475" s="187" t="s">
        <v>435</v>
      </c>
      <c r="B475" s="187" t="s">
        <v>387</v>
      </c>
      <c r="C475" s="245" t="s">
        <v>432</v>
      </c>
      <c r="D475" s="200" t="s">
        <v>940</v>
      </c>
      <c r="E475" s="204" t="s">
        <v>941</v>
      </c>
      <c r="F475" s="196">
        <v>7358350</v>
      </c>
      <c r="G475" s="198">
        <v>6783836</v>
      </c>
      <c r="H475" s="203">
        <f t="shared" si="11"/>
        <v>92.19235290520294</v>
      </c>
    </row>
    <row r="476" spans="1:8" ht="30" customHeight="1">
      <c r="A476" s="187" t="s">
        <v>436</v>
      </c>
      <c r="B476" s="188" t="s">
        <v>437</v>
      </c>
      <c r="C476" s="188"/>
      <c r="D476" s="189"/>
      <c r="E476" s="194" t="s">
        <v>438</v>
      </c>
      <c r="F476" s="191">
        <f>F477+F493</f>
        <v>2558947</v>
      </c>
      <c r="G476" s="191">
        <f>G477+G493</f>
        <v>1497343.3</v>
      </c>
      <c r="H476" s="206">
        <f t="shared" si="11"/>
        <v>58.51404112707297</v>
      </c>
    </row>
    <row r="477" spans="1:8" ht="47.25" customHeight="1">
      <c r="A477" s="187" t="s">
        <v>439</v>
      </c>
      <c r="B477" s="187" t="s">
        <v>437</v>
      </c>
      <c r="C477" s="187" t="s">
        <v>390</v>
      </c>
      <c r="D477" s="200"/>
      <c r="E477" s="170" t="s">
        <v>391</v>
      </c>
      <c r="F477" s="243">
        <f>F478</f>
        <v>415790</v>
      </c>
      <c r="G477" s="243">
        <f>G478</f>
        <v>401460.8</v>
      </c>
      <c r="H477" s="203">
        <f t="shared" si="11"/>
        <v>96.55374107121382</v>
      </c>
    </row>
    <row r="478" spans="1:10" ht="81.75" customHeight="1">
      <c r="A478" s="187" t="s">
        <v>440</v>
      </c>
      <c r="B478" s="187" t="s">
        <v>437</v>
      </c>
      <c r="C478" s="187" t="s">
        <v>408</v>
      </c>
      <c r="D478" s="200"/>
      <c r="E478" s="170" t="s">
        <v>409</v>
      </c>
      <c r="F478" s="201">
        <f>F479+F481+F483+F485+F488+F491</f>
        <v>415790</v>
      </c>
      <c r="G478" s="201">
        <f>G479+G481+G483+G485+G488+G491</f>
        <v>401460.8</v>
      </c>
      <c r="H478" s="203">
        <f t="shared" si="11"/>
        <v>96.55374107121382</v>
      </c>
      <c r="I478" s="207">
        <f>F478+F461</f>
        <v>595790</v>
      </c>
      <c r="J478" s="207">
        <f>G478+G461</f>
        <v>531460.8</v>
      </c>
    </row>
    <row r="479" spans="1:8" ht="36" customHeight="1">
      <c r="A479" s="187" t="s">
        <v>441</v>
      </c>
      <c r="B479" s="187" t="s">
        <v>437</v>
      </c>
      <c r="C479" s="187" t="s">
        <v>442</v>
      </c>
      <c r="D479" s="200"/>
      <c r="E479" s="204" t="s">
        <v>443</v>
      </c>
      <c r="F479" s="201">
        <f>F480</f>
        <v>12075</v>
      </c>
      <c r="G479" s="201">
        <f>G480</f>
        <v>12075</v>
      </c>
      <c r="H479" s="203">
        <f t="shared" si="11"/>
        <v>100</v>
      </c>
    </row>
    <row r="480" spans="1:8" ht="48.75" customHeight="1">
      <c r="A480" s="187" t="s">
        <v>444</v>
      </c>
      <c r="B480" s="187" t="s">
        <v>437</v>
      </c>
      <c r="C480" s="187" t="s">
        <v>442</v>
      </c>
      <c r="D480" s="200" t="s">
        <v>882</v>
      </c>
      <c r="E480" s="204" t="s">
        <v>883</v>
      </c>
      <c r="F480" s="201">
        <v>12075</v>
      </c>
      <c r="G480" s="198">
        <v>12075</v>
      </c>
      <c r="H480" s="203">
        <f t="shared" si="11"/>
        <v>100</v>
      </c>
    </row>
    <row r="481" spans="1:8" ht="40.5" customHeight="1">
      <c r="A481" s="187" t="s">
        <v>445</v>
      </c>
      <c r="B481" s="187" t="s">
        <v>437</v>
      </c>
      <c r="C481" s="187" t="s">
        <v>446</v>
      </c>
      <c r="D481" s="200"/>
      <c r="E481" s="222" t="s">
        <v>447</v>
      </c>
      <c r="F481" s="201">
        <f>F482</f>
        <v>5250</v>
      </c>
      <c r="G481" s="201">
        <f>G482</f>
        <v>2500</v>
      </c>
      <c r="H481" s="203">
        <f t="shared" si="11"/>
        <v>47.61904761904761</v>
      </c>
    </row>
    <row r="482" spans="1:8" ht="53.25" customHeight="1">
      <c r="A482" s="187" t="s">
        <v>448</v>
      </c>
      <c r="B482" s="187" t="s">
        <v>437</v>
      </c>
      <c r="C482" s="187" t="s">
        <v>446</v>
      </c>
      <c r="D482" s="200" t="s">
        <v>882</v>
      </c>
      <c r="E482" s="204" t="s">
        <v>883</v>
      </c>
      <c r="F482" s="201">
        <v>5250</v>
      </c>
      <c r="G482" s="198">
        <v>2500</v>
      </c>
      <c r="H482" s="203">
        <f t="shared" si="11"/>
        <v>47.61904761904761</v>
      </c>
    </row>
    <row r="483" spans="1:8" ht="30.75" customHeight="1">
      <c r="A483" s="187" t="s">
        <v>449</v>
      </c>
      <c r="B483" s="187" t="s">
        <v>437</v>
      </c>
      <c r="C483" s="187" t="s">
        <v>450</v>
      </c>
      <c r="D483" s="200"/>
      <c r="E483" s="204" t="s">
        <v>451</v>
      </c>
      <c r="F483" s="201">
        <f>F484</f>
        <v>134204</v>
      </c>
      <c r="G483" s="201">
        <f>G484</f>
        <v>132376</v>
      </c>
      <c r="H483" s="203">
        <f t="shared" si="11"/>
        <v>98.63789454859766</v>
      </c>
    </row>
    <row r="484" spans="1:8" ht="45.75" customHeight="1">
      <c r="A484" s="187" t="s">
        <v>452</v>
      </c>
      <c r="B484" s="187" t="s">
        <v>437</v>
      </c>
      <c r="C484" s="187" t="s">
        <v>450</v>
      </c>
      <c r="D484" s="200" t="s">
        <v>882</v>
      </c>
      <c r="E484" s="204" t="s">
        <v>883</v>
      </c>
      <c r="F484" s="201">
        <v>134204</v>
      </c>
      <c r="G484" s="198">
        <v>132376</v>
      </c>
      <c r="H484" s="203">
        <f t="shared" si="11"/>
        <v>98.63789454859766</v>
      </c>
    </row>
    <row r="485" spans="1:8" ht="30.75" customHeight="1">
      <c r="A485" s="187" t="s">
        <v>453</v>
      </c>
      <c r="B485" s="187" t="s">
        <v>437</v>
      </c>
      <c r="C485" s="187" t="s">
        <v>454</v>
      </c>
      <c r="D485" s="200"/>
      <c r="E485" s="204" t="s">
        <v>455</v>
      </c>
      <c r="F485" s="201">
        <f>SUM(F486:F487)</f>
        <v>32027</v>
      </c>
      <c r="G485" s="201">
        <f>SUM(G486:G487)</f>
        <v>32000</v>
      </c>
      <c r="H485" s="203">
        <f t="shared" si="11"/>
        <v>99.91569613138914</v>
      </c>
    </row>
    <row r="486" spans="1:8" ht="49.5" customHeight="1">
      <c r="A486" s="187" t="s">
        <v>456</v>
      </c>
      <c r="B486" s="187" t="s">
        <v>437</v>
      </c>
      <c r="C486" s="187" t="s">
        <v>454</v>
      </c>
      <c r="D486" s="200" t="s">
        <v>882</v>
      </c>
      <c r="E486" s="204" t="s">
        <v>883</v>
      </c>
      <c r="F486" s="201">
        <v>27</v>
      </c>
      <c r="G486" s="198">
        <v>0</v>
      </c>
      <c r="H486" s="203">
        <f t="shared" si="11"/>
        <v>0</v>
      </c>
    </row>
    <row r="487" spans="1:8" ht="47.25" customHeight="1">
      <c r="A487" s="187" t="s">
        <v>457</v>
      </c>
      <c r="B487" s="187" t="s">
        <v>437</v>
      </c>
      <c r="C487" s="187" t="s">
        <v>454</v>
      </c>
      <c r="D487" s="200" t="s">
        <v>458</v>
      </c>
      <c r="E487" s="204" t="s">
        <v>459</v>
      </c>
      <c r="F487" s="201">
        <v>32000</v>
      </c>
      <c r="G487" s="198">
        <v>32000</v>
      </c>
      <c r="H487" s="203">
        <f t="shared" si="11"/>
        <v>100</v>
      </c>
    </row>
    <row r="488" spans="1:8" ht="19.5" customHeight="1">
      <c r="A488" s="187" t="s">
        <v>460</v>
      </c>
      <c r="B488" s="187" t="s">
        <v>437</v>
      </c>
      <c r="C488" s="187" t="s">
        <v>461</v>
      </c>
      <c r="D488" s="200"/>
      <c r="E488" s="204" t="s">
        <v>462</v>
      </c>
      <c r="F488" s="201">
        <f>SUM(F489:F490)</f>
        <v>66534</v>
      </c>
      <c r="G488" s="201">
        <f>SUM(G489:G490)</f>
        <v>56809.8</v>
      </c>
      <c r="H488" s="203">
        <f t="shared" si="11"/>
        <v>85.38461538461539</v>
      </c>
    </row>
    <row r="489" spans="1:8" ht="48.75" customHeight="1">
      <c r="A489" s="187" t="s">
        <v>463</v>
      </c>
      <c r="B489" s="187" t="s">
        <v>437</v>
      </c>
      <c r="C489" s="187" t="s">
        <v>461</v>
      </c>
      <c r="D489" s="200" t="s">
        <v>882</v>
      </c>
      <c r="E489" s="204" t="s">
        <v>883</v>
      </c>
      <c r="F489" s="201">
        <v>1534</v>
      </c>
      <c r="G489" s="198">
        <v>1309.8</v>
      </c>
      <c r="H489" s="203">
        <f t="shared" si="11"/>
        <v>85.38461538461539</v>
      </c>
    </row>
    <row r="490" spans="1:8" ht="32.25" customHeight="1">
      <c r="A490" s="187" t="s">
        <v>464</v>
      </c>
      <c r="B490" s="187" t="s">
        <v>437</v>
      </c>
      <c r="C490" s="187" t="s">
        <v>461</v>
      </c>
      <c r="D490" s="200" t="s">
        <v>940</v>
      </c>
      <c r="E490" s="204" t="s">
        <v>941</v>
      </c>
      <c r="F490" s="201">
        <v>65000</v>
      </c>
      <c r="G490" s="198">
        <v>55500</v>
      </c>
      <c r="H490" s="203">
        <f t="shared" si="11"/>
        <v>85.38461538461539</v>
      </c>
    </row>
    <row r="491" spans="1:8" ht="67.5" customHeight="1">
      <c r="A491" s="187" t="s">
        <v>465</v>
      </c>
      <c r="B491" s="187" t="s">
        <v>437</v>
      </c>
      <c r="C491" s="187" t="s">
        <v>466</v>
      </c>
      <c r="D491" s="200"/>
      <c r="E491" s="204" t="s">
        <v>467</v>
      </c>
      <c r="F491" s="201">
        <f>F492</f>
        <v>165700</v>
      </c>
      <c r="G491" s="201">
        <f>G492</f>
        <v>165700</v>
      </c>
      <c r="H491" s="203">
        <f t="shared" si="11"/>
        <v>100</v>
      </c>
    </row>
    <row r="492" spans="1:8" ht="39" customHeight="1">
      <c r="A492" s="187" t="s">
        <v>468</v>
      </c>
      <c r="B492" s="187" t="s">
        <v>437</v>
      </c>
      <c r="C492" s="187" t="s">
        <v>466</v>
      </c>
      <c r="D492" s="200" t="s">
        <v>940</v>
      </c>
      <c r="E492" s="204" t="s">
        <v>941</v>
      </c>
      <c r="F492" s="201">
        <v>165700</v>
      </c>
      <c r="G492" s="198">
        <v>165700</v>
      </c>
      <c r="H492" s="203">
        <f t="shared" si="11"/>
        <v>100</v>
      </c>
    </row>
    <row r="493" spans="1:8" ht="28.5" customHeight="1">
      <c r="A493" s="187" t="s">
        <v>469</v>
      </c>
      <c r="B493" s="187" t="s">
        <v>437</v>
      </c>
      <c r="C493" s="187" t="s">
        <v>872</v>
      </c>
      <c r="D493" s="189"/>
      <c r="E493" s="170" t="s">
        <v>873</v>
      </c>
      <c r="F493" s="196">
        <f>F494+F497</f>
        <v>2143157</v>
      </c>
      <c r="G493" s="196">
        <f>G494+G497</f>
        <v>1095882.5</v>
      </c>
      <c r="H493" s="203">
        <f t="shared" si="11"/>
        <v>51.13402797835156</v>
      </c>
    </row>
    <row r="494" spans="1:8" ht="190.5" customHeight="1">
      <c r="A494" s="187" t="s">
        <v>470</v>
      </c>
      <c r="B494" s="187" t="s">
        <v>437</v>
      </c>
      <c r="C494" s="187" t="s">
        <v>422</v>
      </c>
      <c r="D494" s="200"/>
      <c r="E494" s="170" t="s">
        <v>423</v>
      </c>
      <c r="F494" s="196">
        <f>SUM(F495:F496)</f>
        <v>223107</v>
      </c>
      <c r="G494" s="196">
        <f>SUM(G495:G496)</f>
        <v>194371.49000000002</v>
      </c>
      <c r="H494" s="203">
        <f t="shared" si="11"/>
        <v>87.12030102148297</v>
      </c>
    </row>
    <row r="495" spans="1:8" ht="36.75" customHeight="1">
      <c r="A495" s="187" t="s">
        <v>471</v>
      </c>
      <c r="B495" s="187" t="s">
        <v>437</v>
      </c>
      <c r="C495" s="187" t="s">
        <v>422</v>
      </c>
      <c r="D495" s="200" t="s">
        <v>876</v>
      </c>
      <c r="E495" s="170" t="s">
        <v>877</v>
      </c>
      <c r="F495" s="196">
        <v>167025</v>
      </c>
      <c r="G495" s="198">
        <v>162212.23</v>
      </c>
      <c r="H495" s="203">
        <f t="shared" si="11"/>
        <v>97.11853315371951</v>
      </c>
    </row>
    <row r="496" spans="1:8" ht="52.5" customHeight="1">
      <c r="A496" s="187" t="s">
        <v>472</v>
      </c>
      <c r="B496" s="187" t="s">
        <v>437</v>
      </c>
      <c r="C496" s="187" t="s">
        <v>422</v>
      </c>
      <c r="D496" s="200" t="s">
        <v>882</v>
      </c>
      <c r="E496" s="204" t="s">
        <v>883</v>
      </c>
      <c r="F496" s="196">
        <v>56082</v>
      </c>
      <c r="G496" s="198">
        <v>32159.26</v>
      </c>
      <c r="H496" s="203">
        <f t="shared" si="11"/>
        <v>57.3432830498199</v>
      </c>
    </row>
    <row r="497" spans="1:8" ht="202.5" customHeight="1">
      <c r="A497" s="187" t="s">
        <v>473</v>
      </c>
      <c r="B497" s="187" t="s">
        <v>437</v>
      </c>
      <c r="C497" s="187" t="s">
        <v>427</v>
      </c>
      <c r="D497" s="200"/>
      <c r="E497" s="244" t="s">
        <v>428</v>
      </c>
      <c r="F497" s="196">
        <f>SUM(F498:F499)</f>
        <v>1920050</v>
      </c>
      <c r="G497" s="196">
        <f>SUM(G498:G499)</f>
        <v>901511.01</v>
      </c>
      <c r="H497" s="203">
        <f t="shared" si="11"/>
        <v>46.95247571677821</v>
      </c>
    </row>
    <row r="498" spans="1:8" ht="43.5" customHeight="1">
      <c r="A498" s="187" t="s">
        <v>474</v>
      </c>
      <c r="B498" s="187" t="s">
        <v>437</v>
      </c>
      <c r="C498" s="187" t="s">
        <v>427</v>
      </c>
      <c r="D498" s="200" t="s">
        <v>876</v>
      </c>
      <c r="E498" s="170" t="s">
        <v>877</v>
      </c>
      <c r="F498" s="196">
        <v>381892</v>
      </c>
      <c r="G498" s="198">
        <v>375343.35</v>
      </c>
      <c r="H498" s="203">
        <f t="shared" si="11"/>
        <v>98.28520890723031</v>
      </c>
    </row>
    <row r="499" spans="1:8" ht="49.5" customHeight="1">
      <c r="A499" s="187" t="s">
        <v>475</v>
      </c>
      <c r="B499" s="187" t="s">
        <v>437</v>
      </c>
      <c r="C499" s="187" t="s">
        <v>427</v>
      </c>
      <c r="D499" s="200" t="s">
        <v>882</v>
      </c>
      <c r="E499" s="204" t="s">
        <v>883</v>
      </c>
      <c r="F499" s="196">
        <v>1538158</v>
      </c>
      <c r="G499" s="198">
        <v>526167.66</v>
      </c>
      <c r="H499" s="203">
        <f t="shared" si="11"/>
        <v>34.207647068766676</v>
      </c>
    </row>
    <row r="500" spans="1:8" ht="24.75" customHeight="1">
      <c r="A500" s="187" t="s">
        <v>476</v>
      </c>
      <c r="B500" s="188" t="s">
        <v>477</v>
      </c>
      <c r="C500" s="187"/>
      <c r="D500" s="200"/>
      <c r="E500" s="194" t="s">
        <v>478</v>
      </c>
      <c r="F500" s="191">
        <f>F501+F513</f>
        <v>10918914.81</v>
      </c>
      <c r="G500" s="191">
        <f>G501+G513</f>
        <v>9882331.25</v>
      </c>
      <c r="H500" s="206">
        <f t="shared" si="11"/>
        <v>90.50653313046591</v>
      </c>
    </row>
    <row r="501" spans="1:8" ht="23.25" customHeight="1">
      <c r="A501" s="187" t="s">
        <v>479</v>
      </c>
      <c r="B501" s="188" t="s">
        <v>480</v>
      </c>
      <c r="C501" s="188"/>
      <c r="D501" s="189"/>
      <c r="E501" s="194" t="s">
        <v>481</v>
      </c>
      <c r="F501" s="191">
        <f>F502+F508</f>
        <v>9583480.81</v>
      </c>
      <c r="G501" s="191">
        <f>G502+G508</f>
        <v>8550304.62</v>
      </c>
      <c r="H501" s="206">
        <f t="shared" si="11"/>
        <v>89.21919696524127</v>
      </c>
    </row>
    <row r="502" spans="1:8" ht="48" customHeight="1">
      <c r="A502" s="187" t="s">
        <v>482</v>
      </c>
      <c r="B502" s="187" t="s">
        <v>480</v>
      </c>
      <c r="C502" s="187" t="s">
        <v>223</v>
      </c>
      <c r="D502" s="189"/>
      <c r="E502" s="170" t="s">
        <v>224</v>
      </c>
      <c r="F502" s="196">
        <f>F503</f>
        <v>7717583.8100000005</v>
      </c>
      <c r="G502" s="196">
        <f>G503</f>
        <v>7716408.35</v>
      </c>
      <c r="H502" s="203">
        <f t="shared" si="11"/>
        <v>99.98476906725033</v>
      </c>
    </row>
    <row r="503" spans="1:8" ht="42" customHeight="1">
      <c r="A503" s="187" t="s">
        <v>483</v>
      </c>
      <c r="B503" s="187" t="s">
        <v>480</v>
      </c>
      <c r="C503" s="187" t="s">
        <v>484</v>
      </c>
      <c r="D503" s="189"/>
      <c r="E503" s="170" t="s">
        <v>485</v>
      </c>
      <c r="F503" s="196">
        <f>F504+F506</f>
        <v>7717583.8100000005</v>
      </c>
      <c r="G503" s="196">
        <f>G504+G506</f>
        <v>7716408.35</v>
      </c>
      <c r="H503" s="203">
        <f t="shared" si="11"/>
        <v>99.98476906725033</v>
      </c>
    </row>
    <row r="504" spans="1:8" ht="36.75" customHeight="1">
      <c r="A504" s="187" t="s">
        <v>486</v>
      </c>
      <c r="B504" s="187" t="s">
        <v>480</v>
      </c>
      <c r="C504" s="187" t="s">
        <v>487</v>
      </c>
      <c r="D504" s="200"/>
      <c r="E504" s="170" t="s">
        <v>488</v>
      </c>
      <c r="F504" s="201">
        <f>F505</f>
        <v>7653304.23</v>
      </c>
      <c r="G504" s="201">
        <f>G505</f>
        <v>7652128.77</v>
      </c>
      <c r="H504" s="203">
        <f t="shared" si="11"/>
        <v>99.98464114368545</v>
      </c>
    </row>
    <row r="505" spans="1:8" ht="23.25" customHeight="1">
      <c r="A505" s="187" t="s">
        <v>489</v>
      </c>
      <c r="B505" s="187" t="s">
        <v>480</v>
      </c>
      <c r="C505" s="187" t="s">
        <v>487</v>
      </c>
      <c r="D505" s="200" t="s">
        <v>950</v>
      </c>
      <c r="E505" s="170" t="s">
        <v>951</v>
      </c>
      <c r="F505" s="201">
        <f>7672550-9882.77-9363</f>
        <v>7653304.23</v>
      </c>
      <c r="G505" s="198">
        <v>7652128.77</v>
      </c>
      <c r="H505" s="203">
        <f t="shared" si="11"/>
        <v>99.98464114368545</v>
      </c>
    </row>
    <row r="506" spans="1:8" ht="23.25" customHeight="1">
      <c r="A506" s="187" t="s">
        <v>490</v>
      </c>
      <c r="B506" s="187" t="s">
        <v>480</v>
      </c>
      <c r="C506" s="187" t="s">
        <v>491</v>
      </c>
      <c r="D506" s="200"/>
      <c r="E506" s="170" t="s">
        <v>885</v>
      </c>
      <c r="F506" s="201">
        <f>F507</f>
        <v>64279.58</v>
      </c>
      <c r="G506" s="201">
        <f>G507</f>
        <v>64279.58</v>
      </c>
      <c r="H506" s="203">
        <f t="shared" si="11"/>
        <v>100</v>
      </c>
    </row>
    <row r="507" spans="1:8" ht="23.25" customHeight="1">
      <c r="A507" s="187" t="s">
        <v>492</v>
      </c>
      <c r="B507" s="187" t="s">
        <v>480</v>
      </c>
      <c r="C507" s="187" t="s">
        <v>491</v>
      </c>
      <c r="D507" s="200" t="s">
        <v>950</v>
      </c>
      <c r="E507" s="170" t="s">
        <v>951</v>
      </c>
      <c r="F507" s="201">
        <f>54396.81+9882.77</f>
        <v>64279.58</v>
      </c>
      <c r="G507" s="198">
        <v>64279.58</v>
      </c>
      <c r="H507" s="203">
        <f t="shared" si="11"/>
        <v>100</v>
      </c>
    </row>
    <row r="508" spans="1:8" ht="23.25" customHeight="1">
      <c r="A508" s="187" t="s">
        <v>493</v>
      </c>
      <c r="B508" s="187" t="s">
        <v>480</v>
      </c>
      <c r="C508" s="187" t="s">
        <v>872</v>
      </c>
      <c r="D508" s="200"/>
      <c r="E508" s="170" t="s">
        <v>873</v>
      </c>
      <c r="F508" s="196">
        <f>F509+F511</f>
        <v>1865897</v>
      </c>
      <c r="G508" s="196">
        <f>G509+G511</f>
        <v>833896.27</v>
      </c>
      <c r="H508" s="203">
        <f t="shared" si="11"/>
        <v>44.69144170337377</v>
      </c>
    </row>
    <row r="509" spans="1:8" ht="23.25" customHeight="1">
      <c r="A509" s="187" t="s">
        <v>494</v>
      </c>
      <c r="B509" s="187" t="s">
        <v>480</v>
      </c>
      <c r="C509" s="187" t="s">
        <v>884</v>
      </c>
      <c r="D509" s="200"/>
      <c r="E509" s="170" t="s">
        <v>885</v>
      </c>
      <c r="F509" s="196">
        <f>F510</f>
        <v>1754635</v>
      </c>
      <c r="G509" s="196">
        <f>G510</f>
        <v>822635</v>
      </c>
      <c r="H509" s="203">
        <f t="shared" si="11"/>
        <v>46.88353988151382</v>
      </c>
    </row>
    <row r="510" spans="1:8" ht="34.5" customHeight="1">
      <c r="A510" s="187" t="s">
        <v>495</v>
      </c>
      <c r="B510" s="187" t="s">
        <v>480</v>
      </c>
      <c r="C510" s="187" t="s">
        <v>884</v>
      </c>
      <c r="D510" s="200" t="s">
        <v>882</v>
      </c>
      <c r="E510" s="204" t="s">
        <v>920</v>
      </c>
      <c r="F510" s="196">
        <f>822635+932000</f>
        <v>1754635</v>
      </c>
      <c r="G510" s="198">
        <v>822635</v>
      </c>
      <c r="H510" s="203">
        <f t="shared" si="11"/>
        <v>46.88353988151382</v>
      </c>
    </row>
    <row r="511" spans="1:8" ht="24.75" customHeight="1">
      <c r="A511" s="187" t="s">
        <v>496</v>
      </c>
      <c r="B511" s="187" t="s">
        <v>480</v>
      </c>
      <c r="C511" s="187" t="s">
        <v>497</v>
      </c>
      <c r="D511" s="200"/>
      <c r="E511" s="204" t="s">
        <v>498</v>
      </c>
      <c r="F511" s="196">
        <f>F512</f>
        <v>111262</v>
      </c>
      <c r="G511" s="196">
        <f>G512</f>
        <v>11261.27</v>
      </c>
      <c r="H511" s="203">
        <f t="shared" si="11"/>
        <v>10.121398141324082</v>
      </c>
    </row>
    <row r="512" spans="1:8" ht="34.5" customHeight="1">
      <c r="A512" s="187" t="s">
        <v>499</v>
      </c>
      <c r="B512" s="187" t="s">
        <v>480</v>
      </c>
      <c r="C512" s="187" t="s">
        <v>497</v>
      </c>
      <c r="D512" s="200" t="s">
        <v>882</v>
      </c>
      <c r="E512" s="204" t="s">
        <v>920</v>
      </c>
      <c r="F512" s="196">
        <f>11262+100000</f>
        <v>111262</v>
      </c>
      <c r="G512" s="198">
        <v>11261.27</v>
      </c>
      <c r="H512" s="203">
        <f t="shared" si="11"/>
        <v>10.121398141324082</v>
      </c>
    </row>
    <row r="513" spans="1:8" ht="36" customHeight="1">
      <c r="A513" s="187" t="s">
        <v>500</v>
      </c>
      <c r="B513" s="188" t="s">
        <v>501</v>
      </c>
      <c r="C513" s="188"/>
      <c r="D513" s="189"/>
      <c r="E513" s="194" t="s">
        <v>502</v>
      </c>
      <c r="F513" s="242">
        <f>F514</f>
        <v>1335434</v>
      </c>
      <c r="G513" s="242">
        <f>G514</f>
        <v>1332026.63</v>
      </c>
      <c r="H513" s="206">
        <f t="shared" si="11"/>
        <v>99.74484924002233</v>
      </c>
    </row>
    <row r="514" spans="1:8" ht="50.25" customHeight="1">
      <c r="A514" s="187" t="s">
        <v>503</v>
      </c>
      <c r="B514" s="187" t="s">
        <v>501</v>
      </c>
      <c r="C514" s="187" t="s">
        <v>223</v>
      </c>
      <c r="D514" s="200"/>
      <c r="E514" s="170" t="s">
        <v>224</v>
      </c>
      <c r="F514" s="201">
        <f>F515</f>
        <v>1335434</v>
      </c>
      <c r="G514" s="201">
        <f>G515</f>
        <v>1332026.63</v>
      </c>
      <c r="H514" s="203">
        <f t="shared" si="11"/>
        <v>99.74484924002233</v>
      </c>
    </row>
    <row r="515" spans="1:8" ht="66.75" customHeight="1">
      <c r="A515" s="187" t="s">
        <v>504</v>
      </c>
      <c r="B515" s="187" t="s">
        <v>501</v>
      </c>
      <c r="C515" s="187" t="s">
        <v>505</v>
      </c>
      <c r="D515" s="200"/>
      <c r="E515" s="170" t="s">
        <v>506</v>
      </c>
      <c r="F515" s="201">
        <f>F516+F519</f>
        <v>1335434</v>
      </c>
      <c r="G515" s="201">
        <f>G516+G519</f>
        <v>1332026.63</v>
      </c>
      <c r="H515" s="203">
        <f t="shared" si="11"/>
        <v>99.74484924002233</v>
      </c>
    </row>
    <row r="516" spans="1:8" ht="36.75" customHeight="1">
      <c r="A516" s="187" t="s">
        <v>507</v>
      </c>
      <c r="B516" s="187" t="s">
        <v>501</v>
      </c>
      <c r="C516" s="187" t="s">
        <v>508</v>
      </c>
      <c r="D516" s="200"/>
      <c r="E516" s="170" t="s">
        <v>509</v>
      </c>
      <c r="F516" s="201">
        <f>SUM(F517:F518)</f>
        <v>1228000</v>
      </c>
      <c r="G516" s="201">
        <f>SUM(G517:G518)</f>
        <v>1224593.47</v>
      </c>
      <c r="H516" s="203">
        <f t="shared" si="11"/>
        <v>99.72259527687297</v>
      </c>
    </row>
    <row r="517" spans="1:8" ht="36.75" customHeight="1">
      <c r="A517" s="187" t="s">
        <v>510</v>
      </c>
      <c r="B517" s="187" t="s">
        <v>501</v>
      </c>
      <c r="C517" s="187" t="s">
        <v>508</v>
      </c>
      <c r="D517" s="200" t="s">
        <v>876</v>
      </c>
      <c r="E517" s="170" t="s">
        <v>877</v>
      </c>
      <c r="F517" s="201">
        <v>1040290</v>
      </c>
      <c r="G517" s="198">
        <v>1038755.97</v>
      </c>
      <c r="H517" s="203">
        <f t="shared" si="11"/>
        <v>99.85253823453075</v>
      </c>
    </row>
    <row r="518" spans="1:8" ht="49.5" customHeight="1">
      <c r="A518" s="187" t="s">
        <v>511</v>
      </c>
      <c r="B518" s="187" t="s">
        <v>501</v>
      </c>
      <c r="C518" s="187" t="s">
        <v>508</v>
      </c>
      <c r="D518" s="200" t="s">
        <v>882</v>
      </c>
      <c r="E518" s="204" t="s">
        <v>883</v>
      </c>
      <c r="F518" s="201">
        <v>187710</v>
      </c>
      <c r="G518" s="198">
        <v>185837.5</v>
      </c>
      <c r="H518" s="203">
        <f t="shared" si="11"/>
        <v>99.00245058867402</v>
      </c>
    </row>
    <row r="519" spans="1:8" ht="22.5" customHeight="1">
      <c r="A519" s="187" t="s">
        <v>512</v>
      </c>
      <c r="B519" s="187" t="s">
        <v>501</v>
      </c>
      <c r="C519" s="187" t="s">
        <v>513</v>
      </c>
      <c r="D519" s="200"/>
      <c r="E519" s="170" t="s">
        <v>514</v>
      </c>
      <c r="F519" s="201">
        <f>F520</f>
        <v>107434</v>
      </c>
      <c r="G519" s="201">
        <f>G520</f>
        <v>107433.16</v>
      </c>
      <c r="H519" s="203">
        <f>G519/F519*100</f>
        <v>99.99921812461605</v>
      </c>
    </row>
    <row r="520" spans="1:8" ht="39" customHeight="1">
      <c r="A520" s="187" t="s">
        <v>515</v>
      </c>
      <c r="B520" s="187" t="s">
        <v>501</v>
      </c>
      <c r="C520" s="187" t="s">
        <v>513</v>
      </c>
      <c r="D520" s="200" t="s">
        <v>946</v>
      </c>
      <c r="E520" s="170" t="s">
        <v>947</v>
      </c>
      <c r="F520" s="201">
        <v>107434</v>
      </c>
      <c r="G520" s="198">
        <v>107433.16</v>
      </c>
      <c r="H520" s="203">
        <f>G520/F520*100</f>
        <v>99.99921812461605</v>
      </c>
    </row>
    <row r="521" spans="1:8" ht="22.5" customHeight="1">
      <c r="A521" s="187" t="s">
        <v>516</v>
      </c>
      <c r="B521" s="188" t="s">
        <v>517</v>
      </c>
      <c r="C521" s="187"/>
      <c r="D521" s="200"/>
      <c r="E521" s="215" t="s">
        <v>518</v>
      </c>
      <c r="F521" s="191">
        <f aca="true" t="shared" si="12" ref="F521:G525">F522</f>
        <v>2200000</v>
      </c>
      <c r="G521" s="191">
        <f t="shared" si="12"/>
        <v>2200000</v>
      </c>
      <c r="H521" s="206">
        <f>G521/F521*100</f>
        <v>100</v>
      </c>
    </row>
    <row r="522" spans="1:8" ht="23.25" customHeight="1">
      <c r="A522" s="187" t="s">
        <v>519</v>
      </c>
      <c r="B522" s="188" t="s">
        <v>520</v>
      </c>
      <c r="C522" s="188"/>
      <c r="D522" s="189"/>
      <c r="E522" s="247" t="s">
        <v>521</v>
      </c>
      <c r="F522" s="191">
        <f t="shared" si="12"/>
        <v>2200000</v>
      </c>
      <c r="G522" s="191">
        <f t="shared" si="12"/>
        <v>2200000</v>
      </c>
      <c r="H522" s="206">
        <f>G522/F522*100</f>
        <v>100</v>
      </c>
    </row>
    <row r="523" spans="1:8" ht="35.25" customHeight="1">
      <c r="A523" s="187" t="s">
        <v>522</v>
      </c>
      <c r="B523" s="187" t="s">
        <v>520</v>
      </c>
      <c r="C523" s="187" t="s">
        <v>924</v>
      </c>
      <c r="D523" s="189"/>
      <c r="E523" s="170" t="s">
        <v>925</v>
      </c>
      <c r="F523" s="196">
        <f t="shared" si="12"/>
        <v>2200000</v>
      </c>
      <c r="G523" s="196">
        <f t="shared" si="12"/>
        <v>2200000</v>
      </c>
      <c r="H523" s="203">
        <f>G523/F523*100</f>
        <v>100</v>
      </c>
    </row>
    <row r="524" spans="1:8" ht="39" customHeight="1">
      <c r="A524" s="187" t="s">
        <v>523</v>
      </c>
      <c r="B524" s="187" t="s">
        <v>520</v>
      </c>
      <c r="C524" s="187" t="s">
        <v>942</v>
      </c>
      <c r="D524" s="189"/>
      <c r="E524" s="170" t="s">
        <v>943</v>
      </c>
      <c r="F524" s="196">
        <f t="shared" si="12"/>
        <v>2200000</v>
      </c>
      <c r="G524" s="196">
        <f t="shared" si="12"/>
        <v>2200000</v>
      </c>
      <c r="H524" s="203">
        <f>G524/F524*100</f>
        <v>100</v>
      </c>
    </row>
    <row r="525" spans="1:8" ht="35.25" customHeight="1">
      <c r="A525" s="187" t="s">
        <v>524</v>
      </c>
      <c r="B525" s="187" t="s">
        <v>520</v>
      </c>
      <c r="C525" s="187" t="s">
        <v>525</v>
      </c>
      <c r="D525" s="189"/>
      <c r="E525" s="170" t="s">
        <v>526</v>
      </c>
      <c r="F525" s="196">
        <f t="shared" si="12"/>
        <v>2200000</v>
      </c>
      <c r="G525" s="196">
        <f t="shared" si="12"/>
        <v>2200000</v>
      </c>
      <c r="H525" s="203">
        <f>G525/F525*100</f>
        <v>100</v>
      </c>
    </row>
    <row r="526" spans="1:8" ht="27.75" customHeight="1">
      <c r="A526" s="187" t="s">
        <v>527</v>
      </c>
      <c r="B526" s="187" t="s">
        <v>520</v>
      </c>
      <c r="C526" s="187" t="s">
        <v>525</v>
      </c>
      <c r="D526" s="200" t="s">
        <v>950</v>
      </c>
      <c r="E526" s="170" t="s">
        <v>951</v>
      </c>
      <c r="F526" s="201">
        <f>2000000+200000</f>
        <v>2200000</v>
      </c>
      <c r="G526" s="198">
        <v>2200000</v>
      </c>
      <c r="H526" s="203">
        <f>G526/F526*100</f>
        <v>100</v>
      </c>
    </row>
    <row r="527" spans="1:8" ht="35.25" customHeight="1">
      <c r="A527" s="187" t="s">
        <v>528</v>
      </c>
      <c r="B527" s="188" t="s">
        <v>529</v>
      </c>
      <c r="C527" s="187"/>
      <c r="D527" s="202"/>
      <c r="E527" s="194" t="s">
        <v>530</v>
      </c>
      <c r="F527" s="191">
        <f aca="true" t="shared" si="13" ref="F527:G531">F528</f>
        <v>1858500</v>
      </c>
      <c r="G527" s="191">
        <f t="shared" si="13"/>
        <v>1852426.31</v>
      </c>
      <c r="H527" s="206">
        <f>G527/F527*100</f>
        <v>99.67319397363465</v>
      </c>
    </row>
    <row r="528" spans="1:8" ht="31.5" customHeight="1">
      <c r="A528" s="187" t="s">
        <v>531</v>
      </c>
      <c r="B528" s="188" t="s">
        <v>532</v>
      </c>
      <c r="C528" s="188"/>
      <c r="D528" s="189"/>
      <c r="E528" s="194" t="s">
        <v>533</v>
      </c>
      <c r="F528" s="191">
        <f t="shared" si="13"/>
        <v>1858500</v>
      </c>
      <c r="G528" s="191">
        <f t="shared" si="13"/>
        <v>1852426.31</v>
      </c>
      <c r="H528" s="206">
        <f>G528/F528*100</f>
        <v>99.67319397363465</v>
      </c>
    </row>
    <row r="529" spans="1:8" ht="47.25" customHeight="1">
      <c r="A529" s="187" t="s">
        <v>534</v>
      </c>
      <c r="B529" s="187" t="s">
        <v>532</v>
      </c>
      <c r="C529" s="187" t="s">
        <v>898</v>
      </c>
      <c r="D529" s="200"/>
      <c r="E529" s="170" t="s">
        <v>899</v>
      </c>
      <c r="F529" s="196">
        <f t="shared" si="13"/>
        <v>1858500</v>
      </c>
      <c r="G529" s="196">
        <f t="shared" si="13"/>
        <v>1852426.31</v>
      </c>
      <c r="H529" s="203">
        <f>G529/F529*100</f>
        <v>99.67319397363465</v>
      </c>
    </row>
    <row r="530" spans="1:8" ht="21.75" customHeight="1">
      <c r="A530" s="187" t="s">
        <v>535</v>
      </c>
      <c r="B530" s="187" t="s">
        <v>532</v>
      </c>
      <c r="C530" s="187" t="s">
        <v>536</v>
      </c>
      <c r="D530" s="200"/>
      <c r="E530" s="170" t="s">
        <v>537</v>
      </c>
      <c r="F530" s="196">
        <f t="shared" si="13"/>
        <v>1858500</v>
      </c>
      <c r="G530" s="196">
        <f t="shared" si="13"/>
        <v>1852426.31</v>
      </c>
      <c r="H530" s="203">
        <f>G530/F530*100</f>
        <v>99.67319397363465</v>
      </c>
    </row>
    <row r="531" spans="1:8" ht="86.25" customHeight="1">
      <c r="A531" s="187" t="s">
        <v>538</v>
      </c>
      <c r="B531" s="187" t="s">
        <v>532</v>
      </c>
      <c r="C531" s="187" t="s">
        <v>539</v>
      </c>
      <c r="D531" s="200"/>
      <c r="E531" s="170" t="s">
        <v>540</v>
      </c>
      <c r="F531" s="196">
        <f t="shared" si="13"/>
        <v>1858500</v>
      </c>
      <c r="G531" s="196">
        <f t="shared" si="13"/>
        <v>1852426.31</v>
      </c>
      <c r="H531" s="203">
        <f>G531/F531*100</f>
        <v>99.67319397363465</v>
      </c>
    </row>
    <row r="532" spans="1:8" ht="21" customHeight="1">
      <c r="A532" s="187" t="s">
        <v>541</v>
      </c>
      <c r="B532" s="187" t="s">
        <v>532</v>
      </c>
      <c r="C532" s="187" t="s">
        <v>539</v>
      </c>
      <c r="D532" s="200" t="s">
        <v>542</v>
      </c>
      <c r="E532" s="170" t="s">
        <v>543</v>
      </c>
      <c r="F532" s="196">
        <f>1625940+6577+225983</f>
        <v>1858500</v>
      </c>
      <c r="G532" s="198">
        <v>1852426.31</v>
      </c>
      <c r="H532" s="203">
        <f>G532/F532*100</f>
        <v>99.67319397363465</v>
      </c>
    </row>
    <row r="533" spans="1:8" ht="21" customHeight="1">
      <c r="A533" s="187" t="s">
        <v>544</v>
      </c>
      <c r="B533" s="248"/>
      <c r="C533" s="249"/>
      <c r="D533" s="249"/>
      <c r="E533" s="250" t="s">
        <v>545</v>
      </c>
      <c r="F533" s="191">
        <f>F7+F82+F88+F122+F205+F273+F289+F413+F451+F500+F527+F521</f>
        <v>537964456.98</v>
      </c>
      <c r="G533" s="191">
        <f>G7+G82+G88+G122+G205+G273+G289+G413+G451+G500+G527+G521</f>
        <v>467676914.39000005</v>
      </c>
      <c r="H533" s="206">
        <f>G533/F533*100</f>
        <v>86.934537834604</v>
      </c>
    </row>
    <row r="534" ht="15.75">
      <c r="G534" s="252"/>
    </row>
    <row r="535" ht="15.75">
      <c r="G535" s="252"/>
    </row>
    <row r="536" ht="15.75">
      <c r="G536" s="252"/>
    </row>
    <row r="537" ht="15.75">
      <c r="G537" s="252"/>
    </row>
    <row r="538" ht="15.75">
      <c r="G538" s="252"/>
    </row>
    <row r="539" ht="15.75">
      <c r="G539" s="252"/>
    </row>
    <row r="540" ht="15.75">
      <c r="G540" s="252"/>
    </row>
    <row r="541" ht="15.75">
      <c r="G541" s="252"/>
    </row>
    <row r="542" ht="15.75">
      <c r="G542" s="252"/>
    </row>
    <row r="543" ht="15.75">
      <c r="G543" s="252"/>
    </row>
    <row r="544" ht="15.75">
      <c r="G544" s="252"/>
    </row>
    <row r="545" ht="15.75">
      <c r="G545" s="252"/>
    </row>
    <row r="546" ht="15.75">
      <c r="G546" s="252"/>
    </row>
    <row r="547" ht="15.75">
      <c r="G547" s="252"/>
    </row>
    <row r="548" ht="15.75">
      <c r="G548" s="252"/>
    </row>
    <row r="549" ht="15.75">
      <c r="G549" s="252"/>
    </row>
    <row r="550" ht="15.75">
      <c r="G550" s="252"/>
    </row>
    <row r="551" ht="15.75">
      <c r="G551" s="252"/>
    </row>
    <row r="552" ht="15.75">
      <c r="G552" s="252"/>
    </row>
    <row r="553" ht="15.75">
      <c r="G553" s="252"/>
    </row>
    <row r="554" ht="15.75">
      <c r="G554" s="252"/>
    </row>
    <row r="555" ht="15.75">
      <c r="G555" s="252"/>
    </row>
    <row r="556" ht="15.75">
      <c r="G556" s="252"/>
    </row>
    <row r="557" ht="15.75">
      <c r="G557" s="252"/>
    </row>
    <row r="558" ht="15.75">
      <c r="G558" s="252"/>
    </row>
    <row r="559" ht="15.75">
      <c r="G559" s="252"/>
    </row>
    <row r="560" ht="15.75">
      <c r="G560" s="252"/>
    </row>
    <row r="561" ht="15.75">
      <c r="G561" s="252"/>
    </row>
    <row r="562" ht="15.75">
      <c r="G562" s="252"/>
    </row>
    <row r="563" ht="15.75">
      <c r="G563" s="252"/>
    </row>
    <row r="564" ht="15.75">
      <c r="G564" s="252"/>
    </row>
    <row r="565" ht="15.75">
      <c r="G565" s="252"/>
    </row>
    <row r="566" ht="15.75">
      <c r="G566" s="252"/>
    </row>
    <row r="567" ht="15.75">
      <c r="G567" s="252"/>
    </row>
    <row r="568" ht="15.75">
      <c r="G568" s="252"/>
    </row>
    <row r="569" ht="15.75">
      <c r="G569" s="252"/>
    </row>
    <row r="570" ht="15.75">
      <c r="G570" s="252"/>
    </row>
    <row r="571" ht="15.75">
      <c r="G571" s="252"/>
    </row>
    <row r="572" ht="15.75">
      <c r="G572" s="252"/>
    </row>
    <row r="573" ht="15.75">
      <c r="G573" s="252"/>
    </row>
    <row r="574" ht="15.75">
      <c r="G574" s="252"/>
    </row>
    <row r="575" ht="15.75">
      <c r="G575" s="252"/>
    </row>
    <row r="576" ht="15.75">
      <c r="G576" s="252"/>
    </row>
    <row r="577" ht="15.75">
      <c r="G577" s="252"/>
    </row>
    <row r="578" ht="15.75">
      <c r="G578" s="252"/>
    </row>
  </sheetData>
  <sheetProtection selectLockedCells="1" selectUnlockedCells="1"/>
  <mergeCells count="1">
    <mergeCell ref="A3:G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7">
      <selection activeCell="B2" sqref="B2"/>
    </sheetView>
  </sheetViews>
  <sheetFormatPr defaultColWidth="9.140625" defaultRowHeight="12.75"/>
  <cols>
    <col min="1" max="1" width="4.8515625" style="7" customWidth="1"/>
    <col min="2" max="2" width="42.00390625" style="7" customWidth="1"/>
    <col min="3" max="3" width="28.140625" style="7" customWidth="1"/>
    <col min="4" max="4" width="15.00390625" style="7" customWidth="1"/>
    <col min="5" max="5" width="16.00390625" style="7" customWidth="1"/>
    <col min="6" max="6" width="8.57421875" style="7" customWidth="1"/>
    <col min="7" max="8" width="9.140625" style="7" customWidth="1"/>
    <col min="9" max="9" width="13.8515625" style="7" bestFit="1" customWidth="1"/>
    <col min="10" max="16384" width="9.140625" style="7" customWidth="1"/>
  </cols>
  <sheetData>
    <row r="1" spans="2:7" ht="51" customHeight="1">
      <c r="B1" s="273" t="s">
        <v>571</v>
      </c>
      <c r="C1" s="273"/>
      <c r="D1" s="273"/>
      <c r="E1" s="273"/>
      <c r="F1" s="162"/>
      <c r="G1" s="253"/>
    </row>
    <row r="2" ht="19.5" customHeight="1">
      <c r="F2" s="6" t="s">
        <v>572</v>
      </c>
    </row>
    <row r="3" spans="1:6" ht="12.75">
      <c r="A3" s="254" t="s">
        <v>547</v>
      </c>
      <c r="B3" s="254" t="s">
        <v>548</v>
      </c>
      <c r="C3" s="254" t="s">
        <v>549</v>
      </c>
      <c r="D3" s="254" t="s">
        <v>550</v>
      </c>
      <c r="E3" s="255" t="s">
        <v>551</v>
      </c>
      <c r="F3" s="255" t="s">
        <v>578</v>
      </c>
    </row>
    <row r="4" spans="1:6" ht="50.25" customHeight="1">
      <c r="A4" s="256"/>
      <c r="B4" s="256"/>
      <c r="C4" s="256"/>
      <c r="D4" s="256"/>
      <c r="E4" s="255"/>
      <c r="F4" s="255"/>
    </row>
    <row r="5" spans="1:6" ht="15.75">
      <c r="A5" s="257">
        <v>1</v>
      </c>
      <c r="B5" s="257">
        <v>2</v>
      </c>
      <c r="C5" s="257">
        <v>3</v>
      </c>
      <c r="D5" s="257">
        <v>4</v>
      </c>
      <c r="E5" s="257">
        <v>5</v>
      </c>
      <c r="F5" s="257">
        <v>6</v>
      </c>
    </row>
    <row r="6" spans="1:6" ht="40.5" customHeight="1">
      <c r="A6" s="258">
        <v>1</v>
      </c>
      <c r="B6" s="259" t="s">
        <v>552</v>
      </c>
      <c r="C6" s="260" t="s">
        <v>553</v>
      </c>
      <c r="D6" s="261">
        <f>D7+D8</f>
        <v>496000</v>
      </c>
      <c r="E6" s="261">
        <f>E7+E8</f>
        <v>496000</v>
      </c>
      <c r="F6" s="262">
        <f aca="true" t="shared" si="0" ref="F6:F15">E6/D6*100</f>
        <v>100</v>
      </c>
    </row>
    <row r="7" spans="1:6" ht="70.5" customHeight="1">
      <c r="A7" s="258">
        <v>2</v>
      </c>
      <c r="B7" s="263" t="s">
        <v>554</v>
      </c>
      <c r="C7" s="264" t="s">
        <v>555</v>
      </c>
      <c r="D7" s="265">
        <v>12000000</v>
      </c>
      <c r="E7" s="266">
        <v>12000000</v>
      </c>
      <c r="F7" s="267">
        <f t="shared" si="0"/>
        <v>100</v>
      </c>
    </row>
    <row r="8" spans="1:9" ht="51" customHeight="1">
      <c r="A8" s="258">
        <v>3</v>
      </c>
      <c r="B8" s="263" t="s">
        <v>556</v>
      </c>
      <c r="C8" s="264" t="s">
        <v>557</v>
      </c>
      <c r="D8" s="265">
        <f>-11504000</f>
        <v>-11504000</v>
      </c>
      <c r="E8" s="266">
        <f>-11504000</f>
        <v>-11504000</v>
      </c>
      <c r="F8" s="267">
        <f t="shared" si="0"/>
        <v>100</v>
      </c>
      <c r="I8" s="21"/>
    </row>
    <row r="9" spans="1:6" ht="53.25" customHeight="1">
      <c r="A9" s="258">
        <v>4</v>
      </c>
      <c r="B9" s="259" t="s">
        <v>558</v>
      </c>
      <c r="C9" s="260" t="s">
        <v>559</v>
      </c>
      <c r="D9" s="261">
        <f>SUM(D10:D11)</f>
        <v>11583000</v>
      </c>
      <c r="E9" s="261">
        <f>SUM(E10:E11)</f>
        <v>16983672.29</v>
      </c>
      <c r="F9" s="262">
        <f t="shared" si="0"/>
        <v>146.6258507295174</v>
      </c>
    </row>
    <row r="10" spans="1:6" ht="83.25" customHeight="1">
      <c r="A10" s="258">
        <v>5</v>
      </c>
      <c r="B10" s="263" t="s">
        <v>560</v>
      </c>
      <c r="C10" s="264" t="s">
        <v>561</v>
      </c>
      <c r="D10" s="265">
        <v>23100000</v>
      </c>
      <c r="E10" s="266">
        <v>18400000</v>
      </c>
      <c r="F10" s="267">
        <f t="shared" si="0"/>
        <v>79.65367965367966</v>
      </c>
    </row>
    <row r="11" spans="1:6" ht="78" customHeight="1">
      <c r="A11" s="258">
        <v>6</v>
      </c>
      <c r="B11" s="263" t="s">
        <v>562</v>
      </c>
      <c r="C11" s="264" t="s">
        <v>563</v>
      </c>
      <c r="D11" s="265">
        <v>-11517000</v>
      </c>
      <c r="E11" s="266">
        <f>-1416327.71</f>
        <v>-1416327.71</v>
      </c>
      <c r="F11" s="267">
        <f t="shared" si="0"/>
        <v>12.297713901189546</v>
      </c>
    </row>
    <row r="12" spans="1:6" ht="39.75" customHeight="1">
      <c r="A12" s="258">
        <v>7</v>
      </c>
      <c r="B12" s="259" t="s">
        <v>564</v>
      </c>
      <c r="C12" s="260" t="s">
        <v>565</v>
      </c>
      <c r="D12" s="261">
        <f>-D13+D14</f>
        <v>3503756.980000019</v>
      </c>
      <c r="E12" s="261">
        <f>-E13+E14</f>
        <v>-29538023.899999976</v>
      </c>
      <c r="F12" s="262">
        <f t="shared" si="0"/>
        <v>-843.0386030939799</v>
      </c>
    </row>
    <row r="13" spans="1:6" ht="41.25" customHeight="1">
      <c r="A13" s="268">
        <v>8</v>
      </c>
      <c r="B13" s="263" t="s">
        <v>566</v>
      </c>
      <c r="C13" s="264" t="s">
        <v>567</v>
      </c>
      <c r="D13" s="265">
        <v>557481700</v>
      </c>
      <c r="E13" s="266">
        <v>533419035.26</v>
      </c>
      <c r="F13" s="267">
        <f t="shared" si="0"/>
        <v>95.68368526895142</v>
      </c>
    </row>
    <row r="14" spans="1:6" ht="40.5" customHeight="1">
      <c r="A14" s="268">
        <v>9</v>
      </c>
      <c r="B14" s="263" t="s">
        <v>568</v>
      </c>
      <c r="C14" s="264" t="s">
        <v>569</v>
      </c>
      <c r="D14" s="265">
        <v>560985456.98</v>
      </c>
      <c r="E14" s="266">
        <v>503881011.36</v>
      </c>
      <c r="F14" s="267">
        <f t="shared" si="0"/>
        <v>89.82069055276136</v>
      </c>
    </row>
    <row r="15" spans="1:6" ht="38.25" customHeight="1">
      <c r="A15" s="269">
        <v>10</v>
      </c>
      <c r="B15" s="259" t="s">
        <v>570</v>
      </c>
      <c r="C15" s="270"/>
      <c r="D15" s="271">
        <f>D6+D9+D12</f>
        <v>15582756.98000002</v>
      </c>
      <c r="E15" s="271">
        <f>E6+E9+E12</f>
        <v>-12058351.609999977</v>
      </c>
      <c r="F15" s="262">
        <f t="shared" si="0"/>
        <v>-77.38265844405129</v>
      </c>
    </row>
    <row r="16" spans="1:6" ht="15">
      <c r="A16" s="272"/>
      <c r="B16" s="272"/>
      <c r="C16" s="272"/>
      <c r="D16" s="272"/>
      <c r="E16" s="272"/>
      <c r="F16" s="272"/>
    </row>
  </sheetData>
  <sheetProtection/>
  <mergeCells count="7">
    <mergeCell ref="A3:A4"/>
    <mergeCell ref="B3:B4"/>
    <mergeCell ref="C3:C4"/>
    <mergeCell ref="D3:D4"/>
    <mergeCell ref="E3:E4"/>
    <mergeCell ref="F3:F4"/>
    <mergeCell ref="B1:E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2016-04-04T08:13:24Z</dcterms:modified>
  <cp:category/>
  <cp:version/>
  <cp:contentType/>
  <cp:contentStatus/>
</cp:coreProperties>
</file>