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360" windowHeight="5025" tabRatio="751" activeTab="1"/>
  </bookViews>
  <sheets>
    <sheet name="определение расч.час.нагрузок" sheetId="1" r:id="rId1"/>
    <sheet name="расчет на подпитку котельных" sheetId="2" r:id="rId2"/>
    <sheet name="протокол-согл. дог. величин" sheetId="3" r:id="rId3"/>
  </sheets>
  <definedNames>
    <definedName name="_xlnm.Print_Area" localSheetId="0">'определение расч.час.нагрузок'!$A$1:$U$211</definedName>
    <definedName name="_xlnm.Print_Area" localSheetId="2">'протокол-согл. дог. величин'!$A$1:$P$46</definedName>
  </definedNames>
  <calcPr fullCalcOnLoad="1"/>
</workbook>
</file>

<file path=xl/comments1.xml><?xml version="1.0" encoding="utf-8"?>
<comments xmlns="http://schemas.openxmlformats.org/spreadsheetml/2006/main">
  <authors>
    <author>ODO3</author>
  </authors>
  <commentList>
    <comment ref="H36" authorId="0">
      <text>
        <r>
          <rPr>
            <b/>
            <sz val="8"/>
            <rFont val="Tahoma"/>
            <family val="0"/>
          </rPr>
          <t>ODO3: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договору купли - продажи (длина*ширина*высота)</t>
        </r>
      </text>
    </comment>
    <comment ref="C115" authorId="0">
      <text>
        <r>
          <rPr>
            <b/>
            <sz val="8"/>
            <rFont val="Tahoma"/>
            <family val="0"/>
          </rPr>
          <t>ODO3: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цвет - по новым актам</t>
        </r>
      </text>
    </comment>
  </commentList>
</comments>
</file>

<file path=xl/sharedStrings.xml><?xml version="1.0" encoding="utf-8"?>
<sst xmlns="http://schemas.openxmlformats.org/spreadsheetml/2006/main" count="640" uniqueCount="330">
  <si>
    <t>1.</t>
  </si>
  <si>
    <t>1.1.</t>
  </si>
  <si>
    <t>Определение расчетной  часовой тепловой нагрузки здания:</t>
  </si>
  <si>
    <t>где:</t>
  </si>
  <si>
    <t>α-  поправочный коэффициент, учитывающий отличие расчетной температуры наружного воздуха для проектирования отопления</t>
  </si>
  <si>
    <t xml:space="preserve">1.2. </t>
  </si>
  <si>
    <t>Определение коэффициента инфильтрации:</t>
  </si>
  <si>
    <t>H- свободная высота здания, ( м )</t>
  </si>
  <si>
    <t>;</t>
  </si>
  <si>
    <t>1.3.</t>
  </si>
  <si>
    <t>Определение  годового количества тепла на отопление здания:</t>
  </si>
  <si>
    <t>Примечание: при наличии в здании отапливаемого подвала к V здания добавляется 40%объема подвала.</t>
  </si>
  <si>
    <t>1.4.</t>
  </si>
  <si>
    <t xml:space="preserve">Расчетный расход теплоносителя (сетевой воды), т/ч, </t>
  </si>
  <si>
    <t>Наименование объекта</t>
  </si>
  <si>
    <t>α</t>
  </si>
  <si>
    <t>V</t>
  </si>
  <si>
    <t>g</t>
  </si>
  <si>
    <t>H</t>
  </si>
  <si>
    <t>Гкал/час</t>
  </si>
  <si>
    <t>м</t>
  </si>
  <si>
    <t>м/с</t>
  </si>
  <si>
    <t>час</t>
  </si>
  <si>
    <t>Гкал/год</t>
  </si>
  <si>
    <t>т/час</t>
  </si>
  <si>
    <t xml:space="preserve">2. </t>
  </si>
  <si>
    <t>2.1.</t>
  </si>
  <si>
    <t>Определение средней часовой нагрузки ГВС потребителями тепловой энергии:</t>
  </si>
  <si>
    <t>2.2.</t>
  </si>
  <si>
    <t>Определение средней часовой нагрузки ГВС потребителями  в отопительный период:</t>
  </si>
  <si>
    <t>N- количество потребителей горячей воды;</t>
  </si>
  <si>
    <t>2.3.</t>
  </si>
  <si>
    <t>2.4.</t>
  </si>
  <si>
    <t>Расчетный расход теплоносителя (сетевой воды) на горячее водоснабжение, т/ч  для отопительного периода:</t>
  </si>
  <si>
    <t>Расчетный расход теплоносителя (сетевой воды) на горячее водоснабжение, т/ч  для неотопительного периода:</t>
  </si>
  <si>
    <t>2.5.</t>
  </si>
  <si>
    <t>a</t>
  </si>
  <si>
    <t>N</t>
  </si>
  <si>
    <t>β</t>
  </si>
  <si>
    <t>л</t>
  </si>
  <si>
    <t>чел</t>
  </si>
  <si>
    <t>2.6.</t>
  </si>
  <si>
    <t>Определение тепловых потерь в местных системах ГВС:</t>
  </si>
  <si>
    <t xml:space="preserve"> </t>
  </si>
  <si>
    <t>η- коэффициент полезного действия тепловой изоляции трубопроводов;</t>
  </si>
  <si>
    <t>[Л-7]</t>
  </si>
  <si>
    <t>3.</t>
  </si>
  <si>
    <t>3.1.1.</t>
  </si>
  <si>
    <t>Нормативные значения годовых потерь теплоносителя, обусловленных утечкой теплоносителя, определяются по формуле:</t>
  </si>
  <si>
    <t xml:space="preserve"> b-доля массового расхода теплоносителя, теряемого подающим трубопроводом ( при отстутствии данных принимается равной  0,75);</t>
  </si>
  <si>
    <t>3.1.2.</t>
  </si>
  <si>
    <t>среднегодовой  емкости  трубопроводов  тепловой  сети   и подключенных к ней систем теплопотребления в час;</t>
  </si>
  <si>
    <t>n -продолжительность функционирования тепловой сети и систем теплопотребления в течение года, ч;</t>
  </si>
  <si>
    <t>3.1.3.</t>
  </si>
  <si>
    <t>3.1.4.</t>
  </si>
  <si>
    <t>3.1.5.</t>
  </si>
  <si>
    <t xml:space="preserve">Потери теплоносителя, т, вследствие нормативной утечки теплоносителя из систем теплопотребления и участков тепловой сети абонента:  </t>
  </si>
  <si>
    <t>3.1.6.</t>
  </si>
  <si>
    <t>Потери тепловой энергии, Гкал, обусловленные потерями теплоносителя вследствие нормативной утечки теплоносителя:</t>
  </si>
  <si>
    <t xml:space="preserve">                    тепловая сеть</t>
  </si>
  <si>
    <t xml:space="preserve">         система отопления</t>
  </si>
  <si>
    <t xml:space="preserve">             система гвс</t>
  </si>
  <si>
    <t>нормативные значения потерь теплоносителя</t>
  </si>
  <si>
    <t xml:space="preserve"> емкость системы</t>
  </si>
  <si>
    <t>Утечка теплоносителя</t>
  </si>
  <si>
    <t>тип отоп.</t>
  </si>
  <si>
    <t>мм</t>
  </si>
  <si>
    <t>прибора</t>
  </si>
  <si>
    <t>чуг.радиат.</t>
  </si>
  <si>
    <t>3.2.</t>
  </si>
  <si>
    <t xml:space="preserve">Количество тепла, теряемого при транспортировке теплоносителя от границы балансовой принадлежности </t>
  </si>
  <si>
    <t>до прибора учета тепловой энергии( фундамента здания) через изоляцию тепловой сети:</t>
  </si>
  <si>
    <t>3.2.1.</t>
  </si>
  <si>
    <t xml:space="preserve">Определение нормативных значений часовых тепловых потерь для теплопроводов подземной прокладки, по подающим и обратным трубопроводам вместе -  </t>
  </si>
  <si>
    <t>3.2.2.</t>
  </si>
  <si>
    <t xml:space="preserve">Определение нормативных значений часовых тепловых потерь для теплопроводов надземной прокладки по подающим и обратным трубопроводам раздельно -  </t>
  </si>
  <si>
    <t xml:space="preserve">удельных  часовых тепловых  потерь на среднегодовые   условия   функционирования тепловой   сети,   подающих   и   обратных трубопроводов   подземной   прокладки    -  </t>
  </si>
  <si>
    <t>вместе, надземной - раздельно, Ккал/м ч;</t>
  </si>
  <si>
    <t>li- длина трубопроводов участка тепловой  сети подземной    прокладки    в    двухтрубном исчислении, надземной в однотрубном, м;</t>
  </si>
  <si>
    <t xml:space="preserve">σ- коэффициент   местных   тепловых   потерь, учитывающий  потери  запорной   арматурой, компенсаторами,  опорами; </t>
  </si>
  <si>
    <t>σ</t>
  </si>
  <si>
    <t>Ккал/мч</t>
  </si>
  <si>
    <t>Гкал/ч</t>
  </si>
  <si>
    <t>4.</t>
  </si>
  <si>
    <t>Общее годовое потребление тепловой энергии на нужды отопления, ГВС с учетом тепловых потерь в тепловых сетях и системах теплопотребления Абонента:</t>
  </si>
  <si>
    <t>Qгод=Qот год+Qгвс год+Qпт, Гкал/год</t>
  </si>
  <si>
    <t xml:space="preserve">                     расчетные часовые нагрузки</t>
  </si>
  <si>
    <t>Расход теплоносителя</t>
  </si>
  <si>
    <t>Gгвс+Gут</t>
  </si>
  <si>
    <t>5.</t>
  </si>
  <si>
    <t>Планируемое расчетное потребление тепловой энергии с разбивкой по месяцам:</t>
  </si>
  <si>
    <t xml:space="preserve">                                                                                                                Отопление</t>
  </si>
  <si>
    <t>Гкал/мес</t>
  </si>
  <si>
    <t>Гкал/кв</t>
  </si>
  <si>
    <t>январь</t>
  </si>
  <si>
    <t>февраль</t>
  </si>
  <si>
    <t>март</t>
  </si>
  <si>
    <t>1кв</t>
  </si>
  <si>
    <t>апрель</t>
  </si>
  <si>
    <t>май</t>
  </si>
  <si>
    <t>июнь</t>
  </si>
  <si>
    <t>2кв</t>
  </si>
  <si>
    <t>июль</t>
  </si>
  <si>
    <t>август</t>
  </si>
  <si>
    <t>сентябрь</t>
  </si>
  <si>
    <t>3кв</t>
  </si>
  <si>
    <t>октябрь</t>
  </si>
  <si>
    <t>ноябрь</t>
  </si>
  <si>
    <t>декабрь</t>
  </si>
  <si>
    <t>4кв</t>
  </si>
  <si>
    <t xml:space="preserve">                                                                              Горячее водоснабжение с потерями в системах ГВС</t>
  </si>
  <si>
    <t xml:space="preserve">                                           Тепловые потери через тепловую изоляцию тепловых сетей и систем теплопотребления</t>
  </si>
  <si>
    <t>ВСЕГО ТЕПЛОСНАБЖЕНИЕ</t>
  </si>
  <si>
    <t>Планируемое расчетное потребление теплоносителя с разбивкой по месяцам:</t>
  </si>
  <si>
    <t>Горячее водоснабжение, т</t>
  </si>
  <si>
    <t>т/мес</t>
  </si>
  <si>
    <t>Нормативная утечка теплоносителя в тепловых сетях и системах теплопотребления Абонента, т</t>
  </si>
  <si>
    <t xml:space="preserve">Список литературы </t>
  </si>
  <si>
    <t>Правила учета тепловой эенргии и теплоносителя, М.,Изд-во МЭИ,1995.</t>
  </si>
  <si>
    <t>Правила технической эксплуатации электрических станций и сетей РФ. РД34.20.501-95, М.:АО "Энергосервис",1996.</t>
  </si>
  <si>
    <t>Методика определения количества тепловой энергии и теплоносителя в водяных системах коммунального теплоснабжения,утв.приказом Госстроя от 06.05.2000г.</t>
  </si>
  <si>
    <t>Методика определения нормативных значений показателей функционирования водяных тепловых сетей ,утв.приказом Госстроя РФ от 01.10.2001 года, №225.</t>
  </si>
  <si>
    <t>Госстроя РФ от11.10.1999 №73.</t>
  </si>
  <si>
    <t>Методика определения потребности в топливе, электрической энергии и воде при производстве и передаче тепловой энергии</t>
  </si>
  <si>
    <t>и теплоносителей в системах коммунального теплоснабжения. Утв. Госстрой России 12.08.2003г.</t>
  </si>
  <si>
    <t>Методические указания по определению потерь в водяных тепловых сетях. РД 34.09.255-97. М.:СПО ОРШРЭС,1998г.</t>
  </si>
  <si>
    <t>СНиП 2.04.14-88 "Тепловая изоляция оборудования и трубопроводов".</t>
  </si>
  <si>
    <t>СНиП 2.04.05-91 "Отопление, вентиляция и кондиционирование воздуха".</t>
  </si>
  <si>
    <t>СНиП 2.04.01-85 "Внутренний водопровод и канализация зданий".</t>
  </si>
  <si>
    <t>Манюк В.К.,и др."Наладка и эксплуатация водяных тепловых сетей", справочник,М.:Стройиздат,1988г.</t>
  </si>
  <si>
    <t>павильон</t>
  </si>
  <si>
    <t>максимально часовая нагрузка</t>
  </si>
  <si>
    <t>параметры теплоносителя в сис-</t>
  </si>
  <si>
    <t>(без субабонентов), Гкал</t>
  </si>
  <si>
    <t>теме отопления объекта, т/ч</t>
  </si>
  <si>
    <t>расход сетевой воды через сис-</t>
  </si>
  <si>
    <t>отопление, Гкал</t>
  </si>
  <si>
    <t>тему отопления объекта</t>
  </si>
  <si>
    <t>ГВС, Гкал</t>
  </si>
  <si>
    <t>отопления объекта</t>
  </si>
  <si>
    <t>максимальный водоразбор ГВС</t>
  </si>
  <si>
    <t>вентиляция</t>
  </si>
  <si>
    <t>, Гкал</t>
  </si>
  <si>
    <t>из системы отопления объекта</t>
  </si>
  <si>
    <t>потери, Гкал</t>
  </si>
  <si>
    <t xml:space="preserve">     ГОД</t>
  </si>
  <si>
    <t>Потребление тепловой энергии</t>
  </si>
  <si>
    <t>Отопление, Гкал</t>
  </si>
  <si>
    <t>Вентиляция,Гкал</t>
  </si>
  <si>
    <t>Потери, Гкал</t>
  </si>
  <si>
    <t>Нормативная утечка,Гкал</t>
  </si>
  <si>
    <t>Расход сетевой воды на ГВС, м3</t>
  </si>
  <si>
    <t>Нормативная утечка,м3</t>
  </si>
  <si>
    <t>n- время работы тепловых сетей в течении года</t>
  </si>
  <si>
    <t xml:space="preserve"> Отопление:</t>
  </si>
  <si>
    <t>Горячее водоснабжение:</t>
  </si>
  <si>
    <t>Тепловые потери в сетях:</t>
  </si>
  <si>
    <t>а) подающий трубопровод:</t>
  </si>
  <si>
    <t>б) обратный трубопровод:</t>
  </si>
  <si>
    <t xml:space="preserve">                                           Нормативная утечка теплоносителя в тепловых сетях и системах теплопотребления Абонента</t>
  </si>
  <si>
    <t xml:space="preserve">нормативная утечка в системе </t>
  </si>
  <si>
    <t xml:space="preserve">Определение норм утечки теплоносителя для отопительного и неотопительного функционирования системы теплопотребления: </t>
  </si>
  <si>
    <t>Приложение  № ____________</t>
  </si>
  <si>
    <t xml:space="preserve">к договору (государственному/муниципальному контракту) </t>
  </si>
  <si>
    <t>№_______________ от_______________________20_____г.</t>
  </si>
  <si>
    <t>Протокол-соглашение о договорных величинах потребления тепловой энергии и теплоносителя на 20___ г.</t>
  </si>
  <si>
    <t>Поставщик: МУП «Комэнергоресурс». 
Абонент (государственный/муниципальный заказчик): ___________________________________
Адрес места расположения объекта: _____________________________________________________</t>
  </si>
  <si>
    <t>Настоящее приложение является неотемлемой частью договора (государственного/муниципального контракта) №___________________</t>
  </si>
  <si>
    <t xml:space="preserve">от________________________20____г. </t>
  </si>
  <si>
    <t>Поставщик:</t>
  </si>
  <si>
    <t>Абонент (государственный/муниципальный заказчик):</t>
  </si>
  <si>
    <t>______________________Сивков А.В.</t>
  </si>
  <si>
    <t>______________________________(_______________________)</t>
  </si>
  <si>
    <t>М.П.</t>
  </si>
  <si>
    <t>Расчет составил:</t>
  </si>
  <si>
    <t>____________________________________</t>
  </si>
  <si>
    <t>Согласовано:</t>
  </si>
  <si>
    <t>Определение расчетных часовых нагрузок и количества тепловой энергии и теплоносителя</t>
  </si>
  <si>
    <r>
      <t>k</t>
    </r>
    <r>
      <rPr>
        <vertAlign val="subscript"/>
        <sz val="11"/>
        <rFont val="Times New Roman"/>
        <family val="1"/>
      </rPr>
      <t>ир</t>
    </r>
    <r>
      <rPr>
        <sz val="11"/>
        <rFont val="Times New Roman"/>
        <family val="1"/>
      </rPr>
      <t>=10</t>
    </r>
    <r>
      <rPr>
        <vertAlign val="superscript"/>
        <sz val="11"/>
        <rFont val="Times New Roman"/>
        <family val="1"/>
      </rPr>
      <t>-2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√2gH{1-(273+t</t>
    </r>
    <r>
      <rPr>
        <vertAlign val="subscript"/>
        <sz val="11"/>
        <rFont val="Times New Roman"/>
        <family val="1"/>
      </rPr>
      <t>но р</t>
    </r>
    <r>
      <rPr>
        <sz val="11"/>
        <rFont val="Times New Roman"/>
        <family val="1"/>
      </rPr>
      <t>)/(273+t</t>
    </r>
    <r>
      <rPr>
        <vertAlign val="subscript"/>
        <sz val="11"/>
        <rFont val="Times New Roman"/>
        <family val="1"/>
      </rPr>
      <t>вн</t>
    </r>
    <r>
      <rPr>
        <sz val="11"/>
        <rFont val="Times New Roman"/>
        <family val="1"/>
      </rPr>
      <t>)+ω</t>
    </r>
    <r>
      <rPr>
        <vertAlign val="subscript"/>
        <sz val="11"/>
        <rFont val="Times New Roman"/>
        <family val="1"/>
      </rPr>
      <t>р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}</t>
    </r>
  </si>
  <si>
    <r>
      <t xml:space="preserve">Поставщик: </t>
    </r>
    <r>
      <rPr>
        <b/>
        <sz val="10"/>
        <rFont val="Times New Roman"/>
        <family val="1"/>
      </rPr>
      <t xml:space="preserve">МУП «Комэнергоресурс». </t>
    </r>
    <r>
      <rPr>
        <sz val="10"/>
        <rFont val="Times New Roman"/>
        <family val="1"/>
      </rPr>
      <t xml:space="preserve">
Абонент (государственный/муниципальный заказчик): ___________________________________
Адрес места расположения объекта: _____________________________________________________</t>
    </r>
  </si>
  <si>
    <t xml:space="preserve">                                                                                        </t>
  </si>
  <si>
    <r>
      <t>Q</t>
    </r>
    <r>
      <rPr>
        <vertAlign val="subscript"/>
        <sz val="11"/>
        <rFont val="Times New Roman"/>
        <family val="1"/>
      </rPr>
      <t>о р</t>
    </r>
    <r>
      <rPr>
        <sz val="11"/>
        <rFont val="Times New Roman"/>
        <family val="1"/>
      </rPr>
      <t>=α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V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g</t>
    </r>
    <r>
      <rPr>
        <vertAlign val="subscript"/>
        <sz val="11"/>
        <rFont val="Times New Roman"/>
        <family val="1"/>
      </rPr>
      <t>о*</t>
    </r>
    <r>
      <rPr>
        <sz val="11"/>
        <rFont val="Times New Roman"/>
        <family val="1"/>
      </rPr>
      <t>(t</t>
    </r>
    <r>
      <rPr>
        <vertAlign val="subscript"/>
        <sz val="11"/>
        <rFont val="Times New Roman"/>
        <family val="1"/>
      </rPr>
      <t>вн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но р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(1+k</t>
    </r>
    <r>
      <rPr>
        <vertAlign val="subscript"/>
        <sz val="11"/>
        <rFont val="Times New Roman"/>
        <family val="1"/>
      </rPr>
      <t>ир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 xml:space="preserve">-6    </t>
    </r>
    <r>
      <rPr>
        <sz val="11"/>
        <rFont val="Times New Roman"/>
        <family val="1"/>
      </rPr>
      <t>Гкал/час.</t>
    </r>
  </si>
  <si>
    <r>
      <t>V- наружный строительный объем здания,   (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</si>
  <si>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g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- удельная отопительная характеристика здания при t</t>
    </r>
    <r>
      <rPr>
        <vertAlign val="subscript"/>
        <sz val="11"/>
        <rFont val="Times New Roman"/>
        <family val="1"/>
      </rPr>
      <t>но р</t>
    </r>
    <r>
      <rPr>
        <sz val="11"/>
        <rFont val="Times New Roman"/>
        <family val="1"/>
      </rPr>
      <t xml:space="preserve">= -30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C,      ( Ккал/м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ч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С)</t>
    </r>
  </si>
  <si>
    <r>
      <t>t</t>
    </r>
    <r>
      <rPr>
        <vertAlign val="subscript"/>
        <sz val="11"/>
        <rFont val="Times New Roman"/>
        <family val="1"/>
      </rPr>
      <t>вн</t>
    </r>
    <r>
      <rPr>
        <sz val="11"/>
        <rFont val="Times New Roman"/>
        <family val="1"/>
      </rPr>
      <t xml:space="preserve">- внутренняя расчетная температура воздуха в здании,  (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 xml:space="preserve">С ) </t>
    </r>
  </si>
  <si>
    <r>
      <t>t</t>
    </r>
    <r>
      <rPr>
        <vertAlign val="subscript"/>
        <sz val="11"/>
        <rFont val="Times New Roman"/>
        <family val="1"/>
      </rPr>
      <t>но р</t>
    </r>
    <r>
      <rPr>
        <sz val="11"/>
        <rFont val="Times New Roman"/>
        <family val="1"/>
      </rPr>
      <t xml:space="preserve">- расчетная температура наружного воздуха для проектирования отопления. (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 )</t>
    </r>
  </si>
  <si>
    <r>
      <t>k</t>
    </r>
    <r>
      <rPr>
        <vertAlign val="subscript"/>
        <sz val="11"/>
        <rFont val="Times New Roman"/>
        <family val="1"/>
      </rPr>
      <t>ир</t>
    </r>
    <r>
      <rPr>
        <sz val="11"/>
        <rFont val="Times New Roman"/>
        <family val="1"/>
      </rPr>
      <t>- расчетный коэффициент инфильтрации</t>
    </r>
  </si>
  <si>
    <r>
      <t>g- ускорение свободного падения,    ( м/с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)</t>
    </r>
  </si>
  <si>
    <r>
      <t>ω</t>
    </r>
    <r>
      <rPr>
        <vertAlign val="subscript"/>
        <sz val="11"/>
        <rFont val="Times New Roman"/>
        <family val="1"/>
      </rPr>
      <t>р</t>
    </r>
    <r>
      <rPr>
        <sz val="11"/>
        <rFont val="Times New Roman"/>
        <family val="1"/>
      </rPr>
      <t>-расчетная скорость ветра для данной местности в отопительный период, (м/с )</t>
    </r>
  </si>
  <si>
    <r>
      <t>Q</t>
    </r>
    <r>
      <rPr>
        <vertAlign val="subscript"/>
        <sz val="11"/>
        <rFont val="Times New Roman"/>
        <family val="1"/>
      </rPr>
      <t>от</t>
    </r>
    <r>
      <rPr>
        <sz val="11"/>
        <rFont val="Times New Roman"/>
        <family val="1"/>
      </rPr>
      <t>=Q</t>
    </r>
    <r>
      <rPr>
        <vertAlign val="subscript"/>
        <sz val="11"/>
        <rFont val="Times New Roman"/>
        <family val="1"/>
      </rPr>
      <t>ор*</t>
    </r>
    <r>
      <rPr>
        <sz val="11"/>
        <rFont val="Times New Roman"/>
        <family val="1"/>
      </rPr>
      <t>{(t</t>
    </r>
    <r>
      <rPr>
        <vertAlign val="subscript"/>
        <sz val="11"/>
        <rFont val="Times New Roman"/>
        <family val="1"/>
      </rPr>
      <t>вн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ср р</t>
    </r>
    <r>
      <rPr>
        <sz val="11"/>
        <rFont val="Times New Roman"/>
        <family val="1"/>
      </rPr>
      <t>)/(t</t>
    </r>
    <r>
      <rPr>
        <vertAlign val="subscript"/>
        <sz val="11"/>
        <rFont val="Times New Roman"/>
        <family val="1"/>
      </rPr>
      <t>вн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но р</t>
    </r>
    <r>
      <rPr>
        <sz val="11"/>
        <rFont val="Times New Roman"/>
        <family val="1"/>
      </rPr>
      <t>)}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о</t>
    </r>
    <r>
      <rPr>
        <vertAlign val="superscript"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>Гкал/год</t>
    </r>
  </si>
  <si>
    <r>
      <t>t</t>
    </r>
    <r>
      <rPr>
        <vertAlign val="subscript"/>
        <sz val="11"/>
        <rFont val="Times New Roman"/>
        <family val="1"/>
      </rPr>
      <t>ср р</t>
    </r>
    <r>
      <rPr>
        <sz val="11"/>
        <rFont val="Times New Roman"/>
        <family val="1"/>
      </rPr>
      <t xml:space="preserve">-средняя расчетная температура наружного воздуха за отопительный период, (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 )</t>
    </r>
  </si>
  <si>
    <r>
      <t>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- продолжительность отопительного периода,  ( час )</t>
    </r>
  </si>
  <si>
    <r>
      <t>G</t>
    </r>
    <r>
      <rPr>
        <vertAlign val="subscript"/>
        <sz val="11"/>
        <rFont val="Times New Roman"/>
        <family val="1"/>
      </rPr>
      <t>от.р</t>
    </r>
    <r>
      <rPr>
        <sz val="11"/>
        <rFont val="Times New Roman"/>
        <family val="1"/>
      </rPr>
      <t xml:space="preserve"> =g</t>
    </r>
    <r>
      <rPr>
        <vertAlign val="subscript"/>
        <sz val="11"/>
        <rFont val="Times New Roman"/>
        <family val="1"/>
      </rPr>
      <t>от.р</t>
    </r>
    <r>
      <rPr>
        <sz val="11"/>
        <rFont val="Times New Roman"/>
        <family val="1"/>
      </rPr>
      <t>*Q</t>
    </r>
    <r>
      <rPr>
        <vertAlign val="subscript"/>
        <sz val="11"/>
        <rFont val="Times New Roman"/>
        <family val="1"/>
      </rPr>
      <t>ор</t>
    </r>
    <r>
      <rPr>
        <sz val="11"/>
        <rFont val="Times New Roman"/>
        <family val="1"/>
      </rPr>
      <t>,</t>
    </r>
  </si>
  <si>
    <r>
      <t>g</t>
    </r>
    <r>
      <rPr>
        <vertAlign val="subscript"/>
        <sz val="11"/>
        <rFont val="Times New Roman"/>
        <family val="1"/>
      </rPr>
      <t>от.р</t>
    </r>
    <r>
      <rPr>
        <sz val="11"/>
        <rFont val="Times New Roman"/>
        <family val="1"/>
      </rPr>
      <t>= 1000/(t</t>
    </r>
    <r>
      <rPr>
        <vertAlign val="subscript"/>
        <sz val="11"/>
        <rFont val="Times New Roman"/>
        <family val="1"/>
      </rPr>
      <t>1р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2р</t>
    </r>
    <r>
      <rPr>
        <sz val="11"/>
        <rFont val="Times New Roman"/>
        <family val="1"/>
      </rPr>
      <t>) - расчетный удельный расход теплоносителя на отопление, т/Гкал</t>
    </r>
  </si>
  <si>
    <r>
      <t>Q</t>
    </r>
    <r>
      <rPr>
        <vertAlign val="subscript"/>
        <sz val="11"/>
        <rFont val="Times New Roman"/>
        <family val="1"/>
      </rPr>
      <t>о.р</t>
    </r>
    <r>
      <rPr>
        <sz val="11"/>
        <rFont val="Times New Roman"/>
        <family val="1"/>
      </rPr>
      <t>-расчетный тепловой поток на отопление , Гкал/ч</t>
    </r>
  </si>
  <si>
    <r>
      <t>t</t>
    </r>
    <r>
      <rPr>
        <vertAlign val="subscript"/>
        <sz val="11"/>
        <rFont val="Times New Roman"/>
        <family val="1"/>
      </rPr>
      <t>1р</t>
    </r>
    <r>
      <rPr>
        <sz val="11"/>
        <rFont val="Times New Roman"/>
        <family val="1"/>
      </rPr>
      <t>, t</t>
    </r>
    <r>
      <rPr>
        <vertAlign val="subscript"/>
        <sz val="11"/>
        <rFont val="Times New Roman"/>
        <family val="1"/>
      </rPr>
      <t>2р</t>
    </r>
    <r>
      <rPr>
        <sz val="11"/>
        <rFont val="Times New Roman"/>
        <family val="1"/>
      </rPr>
      <t xml:space="preserve"> - значения температуры теплоносителя в подающем и обратном трубопроводах тепловой сети при расчетной температуре наружного воздуха для проектирования отопления, град.С.</t>
    </r>
  </si>
  <si>
    <r>
      <t>Q</t>
    </r>
    <r>
      <rPr>
        <b/>
        <vertAlign val="subscript"/>
        <sz val="11"/>
        <rFont val="Times New Roman"/>
        <family val="1"/>
      </rPr>
      <t>ор</t>
    </r>
  </si>
  <si>
    <r>
      <t xml:space="preserve"> t</t>
    </r>
    <r>
      <rPr>
        <b/>
        <vertAlign val="subscript"/>
        <sz val="11"/>
        <rFont val="Times New Roman"/>
        <family val="1"/>
      </rPr>
      <t>вн</t>
    </r>
  </si>
  <si>
    <r>
      <t>t</t>
    </r>
    <r>
      <rPr>
        <b/>
        <vertAlign val="subscript"/>
        <sz val="11"/>
        <rFont val="Times New Roman"/>
        <family val="1"/>
      </rPr>
      <t>ср р</t>
    </r>
  </si>
  <si>
    <r>
      <t>t</t>
    </r>
    <r>
      <rPr>
        <b/>
        <vertAlign val="subscript"/>
        <sz val="11"/>
        <rFont val="Times New Roman"/>
        <family val="1"/>
      </rPr>
      <t>но р</t>
    </r>
  </si>
  <si>
    <r>
      <t>g</t>
    </r>
    <r>
      <rPr>
        <b/>
        <vertAlign val="subscript"/>
        <sz val="11"/>
        <rFont val="Times New Roman"/>
        <family val="1"/>
      </rPr>
      <t>0</t>
    </r>
  </si>
  <si>
    <r>
      <t>k</t>
    </r>
    <r>
      <rPr>
        <b/>
        <vertAlign val="subscript"/>
        <sz val="11"/>
        <rFont val="Times New Roman"/>
        <family val="1"/>
      </rPr>
      <t>ир</t>
    </r>
  </si>
  <si>
    <r>
      <t>ω</t>
    </r>
    <r>
      <rPr>
        <b/>
        <vertAlign val="subscript"/>
        <sz val="11"/>
        <rFont val="Times New Roman"/>
        <family val="1"/>
      </rPr>
      <t>р</t>
    </r>
  </si>
  <si>
    <r>
      <t>n</t>
    </r>
    <r>
      <rPr>
        <b/>
        <vertAlign val="subscript"/>
        <sz val="11"/>
        <rFont val="Times New Roman"/>
        <family val="1"/>
      </rPr>
      <t>о</t>
    </r>
  </si>
  <si>
    <r>
      <t>Q</t>
    </r>
    <r>
      <rPr>
        <b/>
        <vertAlign val="subscript"/>
        <sz val="11"/>
        <rFont val="Times New Roman"/>
        <family val="1"/>
      </rPr>
      <t>от</t>
    </r>
  </si>
  <si>
    <r>
      <t>t</t>
    </r>
    <r>
      <rPr>
        <vertAlign val="subscript"/>
        <sz val="11"/>
        <rFont val="Times New Roman"/>
        <family val="1"/>
      </rPr>
      <t>1р</t>
    </r>
    <r>
      <rPr>
        <sz val="11"/>
        <rFont val="Times New Roman"/>
        <family val="1"/>
      </rPr>
      <t xml:space="preserve">, </t>
    </r>
  </si>
  <si>
    <r>
      <t>t</t>
    </r>
    <r>
      <rPr>
        <vertAlign val="subscript"/>
        <sz val="11"/>
        <rFont val="Times New Roman"/>
        <family val="1"/>
      </rPr>
      <t>2р</t>
    </r>
    <r>
      <rPr>
        <sz val="11"/>
        <rFont val="Times New Roman"/>
        <family val="1"/>
      </rPr>
      <t xml:space="preserve">, </t>
    </r>
  </si>
  <si>
    <r>
      <t>G</t>
    </r>
    <r>
      <rPr>
        <b/>
        <vertAlign val="subscript"/>
        <sz val="11"/>
        <rFont val="Times New Roman"/>
        <family val="1"/>
      </rPr>
      <t>от.р</t>
    </r>
  </si>
  <si>
    <r>
      <t xml:space="preserve">    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</t>
    </r>
  </si>
  <si>
    <r>
      <t>м</t>
    </r>
    <r>
      <rPr>
        <vertAlign val="superscript"/>
        <sz val="11"/>
        <rFont val="Times New Roman"/>
        <family val="1"/>
      </rPr>
      <t>3</t>
    </r>
  </si>
  <si>
    <r>
      <t>Ккал/м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ч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С</t>
    </r>
  </si>
  <si>
    <r>
      <t>м/с</t>
    </r>
    <r>
      <rPr>
        <vertAlign val="superscript"/>
        <sz val="11"/>
        <rFont val="Times New Roman"/>
        <family val="1"/>
      </rPr>
      <t>2</t>
    </r>
  </si>
  <si>
    <r>
      <t>0</t>
    </r>
    <r>
      <rPr>
        <sz val="11"/>
        <rFont val="Times New Roman"/>
        <family val="1"/>
      </rPr>
      <t>С</t>
    </r>
  </si>
  <si>
    <r>
      <t>Q</t>
    </r>
    <r>
      <rPr>
        <vertAlign val="subscript"/>
        <sz val="11"/>
        <rFont val="Times New Roman"/>
        <family val="1"/>
      </rPr>
      <t>гвс</t>
    </r>
    <r>
      <rPr>
        <sz val="11"/>
        <rFont val="Times New Roman"/>
        <family val="1"/>
      </rPr>
      <t>=Q</t>
    </r>
    <r>
      <rPr>
        <vertAlign val="subscript"/>
        <sz val="11"/>
        <rFont val="Times New Roman"/>
        <family val="1"/>
      </rPr>
      <t>гвс л</t>
    </r>
    <r>
      <rPr>
        <sz val="11"/>
        <rFont val="Times New Roman"/>
        <family val="1"/>
      </rPr>
      <t>+Q</t>
    </r>
    <r>
      <rPr>
        <vertAlign val="subscript"/>
        <sz val="11"/>
        <rFont val="Times New Roman"/>
        <family val="1"/>
      </rPr>
      <t>гвс.з</t>
    </r>
    <r>
      <rPr>
        <sz val="11"/>
        <rFont val="Times New Roman"/>
        <family val="1"/>
      </rPr>
      <t xml:space="preserve">      ( Гкал/час )</t>
    </r>
  </si>
  <si>
    <r>
      <t>Q</t>
    </r>
    <r>
      <rPr>
        <vertAlign val="subscript"/>
        <sz val="11"/>
        <rFont val="Times New Roman"/>
        <family val="1"/>
      </rPr>
      <t>гвс з</t>
    </r>
    <r>
      <rPr>
        <sz val="11"/>
        <rFont val="Times New Roman"/>
        <family val="1"/>
      </rPr>
      <t>={a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в*</t>
    </r>
    <r>
      <rPr>
        <sz val="11"/>
        <rFont val="Times New Roman"/>
        <family val="1"/>
      </rPr>
      <t>(t</t>
    </r>
    <r>
      <rPr>
        <vertAlign val="subscript"/>
        <sz val="11"/>
        <rFont val="Times New Roman"/>
        <family val="1"/>
      </rPr>
      <t>гв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хв з</t>
    </r>
    <r>
      <rPr>
        <sz val="11"/>
        <rFont val="Times New Roman"/>
        <family val="1"/>
      </rPr>
      <t>)/24+Q</t>
    </r>
    <r>
      <rPr>
        <vertAlign val="subscript"/>
        <sz val="11"/>
        <rFont val="Times New Roman"/>
        <family val="1"/>
      </rPr>
      <t>тп</t>
    </r>
    <r>
      <rPr>
        <sz val="11"/>
        <rFont val="Times New Roman"/>
        <family val="1"/>
      </rPr>
      <t>}*k</t>
    </r>
    <r>
      <rPr>
        <vertAlign val="subscript"/>
        <sz val="11"/>
        <rFont val="Times New Roman"/>
        <family val="1"/>
      </rPr>
      <t>н*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r>
      <rPr>
        <sz val="11"/>
        <rFont val="Times New Roman"/>
        <family val="1"/>
      </rPr>
      <t xml:space="preserve">   ( Гкал/час )</t>
    </r>
  </si>
  <si>
    <t>a- норма расхода горячей воды на одного потребителя  л/сут (приложение №3 СНиП 2.04.01-85)</t>
  </si>
  <si>
    <r>
      <t>С</t>
    </r>
    <r>
      <rPr>
        <vertAlign val="subscript"/>
        <sz val="11"/>
        <rFont val="Times New Roman"/>
        <family val="1"/>
      </rPr>
      <t>в</t>
    </r>
    <r>
      <rPr>
        <sz val="11"/>
        <rFont val="Times New Roman"/>
        <family val="1"/>
      </rPr>
      <t xml:space="preserve">- удельная теплоемкость воды (Ккал/кг 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С)</t>
    </r>
  </si>
  <si>
    <r>
      <t>t</t>
    </r>
    <r>
      <rPr>
        <vertAlign val="subscript"/>
        <sz val="11"/>
        <rFont val="Times New Roman"/>
        <family val="1"/>
      </rPr>
      <t>гв</t>
    </r>
    <r>
      <rPr>
        <sz val="11"/>
        <rFont val="Times New Roman"/>
        <family val="1"/>
      </rPr>
      <t xml:space="preserve">- температура </t>
    </r>
    <r>
      <rPr>
        <sz val="11"/>
        <color indexed="10"/>
        <rFont val="Times New Roman"/>
        <family val="1"/>
      </rPr>
      <t>горячей</t>
    </r>
    <r>
      <rPr>
        <sz val="11"/>
        <rFont val="Times New Roman"/>
        <family val="1"/>
      </rPr>
      <t xml:space="preserve"> воды в системе ГВС, ( 60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С - для открытой системы теплоснабжения); </t>
    </r>
  </si>
  <si>
    <r>
      <t>t</t>
    </r>
    <r>
      <rPr>
        <vertAlign val="subscript"/>
        <sz val="11"/>
        <rFont val="Times New Roman"/>
        <family val="1"/>
      </rPr>
      <t>хв з</t>
    </r>
    <r>
      <rPr>
        <sz val="11"/>
        <rFont val="Times New Roman"/>
        <family val="1"/>
      </rPr>
      <t xml:space="preserve"> = + 5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С- температура </t>
    </r>
    <r>
      <rPr>
        <sz val="11"/>
        <color indexed="10"/>
        <rFont val="Times New Roman"/>
        <family val="1"/>
      </rPr>
      <t>холодной</t>
    </r>
    <r>
      <rPr>
        <sz val="11"/>
        <rFont val="Times New Roman"/>
        <family val="1"/>
      </rPr>
      <t xml:space="preserve"> воды в отопительный период( зима);</t>
    </r>
  </si>
  <si>
    <r>
      <t xml:space="preserve">Определение средней часовой нагрузки ГВС потребителями  в </t>
    </r>
    <r>
      <rPr>
        <sz val="11"/>
        <color indexed="10"/>
        <rFont val="Times New Roman"/>
        <family val="1"/>
      </rPr>
      <t>неотопительный</t>
    </r>
    <r>
      <rPr>
        <sz val="11"/>
        <rFont val="Times New Roman"/>
        <family val="1"/>
      </rPr>
      <t xml:space="preserve"> период:</t>
    </r>
  </si>
  <si>
    <r>
      <t>Q</t>
    </r>
    <r>
      <rPr>
        <vertAlign val="subscript"/>
        <sz val="11"/>
        <rFont val="Times New Roman"/>
        <family val="1"/>
      </rPr>
      <t>гвс л</t>
    </r>
    <r>
      <rPr>
        <sz val="11"/>
        <rFont val="Times New Roman"/>
        <family val="1"/>
      </rPr>
      <t>=Q</t>
    </r>
    <r>
      <rPr>
        <vertAlign val="subscript"/>
        <sz val="11"/>
        <rFont val="Times New Roman"/>
        <family val="1"/>
      </rPr>
      <t>гвс з*</t>
    </r>
    <r>
      <rPr>
        <sz val="11"/>
        <rFont val="Times New Roman"/>
        <family val="1"/>
      </rPr>
      <t>{(t</t>
    </r>
    <r>
      <rPr>
        <vertAlign val="subscript"/>
        <sz val="11"/>
        <rFont val="Times New Roman"/>
        <family val="1"/>
      </rPr>
      <t>гв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хв л</t>
    </r>
    <r>
      <rPr>
        <sz val="11"/>
        <rFont val="Times New Roman"/>
        <family val="1"/>
      </rPr>
      <t>)/(t</t>
    </r>
    <r>
      <rPr>
        <vertAlign val="subscript"/>
        <sz val="11"/>
        <rFont val="Times New Roman"/>
        <family val="1"/>
      </rPr>
      <t>гв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хв з</t>
    </r>
    <r>
      <rPr>
        <sz val="11"/>
        <rFont val="Times New Roman"/>
        <family val="1"/>
      </rPr>
      <t>)}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β       (Гкал/час)</t>
    </r>
  </si>
  <si>
    <r>
      <t>t</t>
    </r>
    <r>
      <rPr>
        <vertAlign val="subscript"/>
        <sz val="11"/>
        <color indexed="10"/>
        <rFont val="Times New Roman"/>
        <family val="1"/>
      </rPr>
      <t>хв л</t>
    </r>
    <r>
      <rPr>
        <sz val="11"/>
        <color indexed="10"/>
        <rFont val="Times New Roman"/>
        <family val="1"/>
      </rPr>
      <t>= +5</t>
    </r>
    <r>
      <rPr>
        <vertAlign val="superscript"/>
        <sz val="11"/>
        <color indexed="10"/>
        <rFont val="Times New Roman"/>
        <family val="1"/>
      </rPr>
      <t>0</t>
    </r>
    <r>
      <rPr>
        <sz val="11"/>
        <color indexed="10"/>
        <rFont val="Times New Roman"/>
        <family val="1"/>
      </rPr>
      <t xml:space="preserve">С - температура </t>
    </r>
    <r>
      <rPr>
        <sz val="11"/>
        <color indexed="12"/>
        <rFont val="Times New Roman"/>
        <family val="1"/>
      </rPr>
      <t>холодной</t>
    </r>
    <r>
      <rPr>
        <sz val="11"/>
        <color indexed="10"/>
        <rFont val="Times New Roman"/>
        <family val="1"/>
      </rPr>
      <t xml:space="preserve"> воды в </t>
    </r>
    <r>
      <rPr>
        <sz val="11"/>
        <color indexed="12"/>
        <rFont val="Times New Roman"/>
        <family val="1"/>
      </rPr>
      <t>неотопительны</t>
    </r>
    <r>
      <rPr>
        <sz val="11"/>
        <color indexed="10"/>
        <rFont val="Times New Roman"/>
        <family val="1"/>
      </rPr>
      <t>й период( лето);</t>
    </r>
  </si>
  <si>
    <r>
      <t xml:space="preserve">β = 0,8 -коэффициент, учитывающий изменения среднего расхода воды на ГВС в </t>
    </r>
    <r>
      <rPr>
        <sz val="11"/>
        <color indexed="10"/>
        <rFont val="Times New Roman"/>
        <family val="1"/>
      </rPr>
      <t>неотопительный</t>
    </r>
    <r>
      <rPr>
        <sz val="11"/>
        <rFont val="Times New Roman"/>
        <family val="1"/>
      </rPr>
      <t xml:space="preserve"> период(СНиП 2.04.01-85);</t>
    </r>
  </si>
  <si>
    <r>
      <t>G</t>
    </r>
    <r>
      <rPr>
        <vertAlign val="subscript"/>
        <sz val="11"/>
        <rFont val="Times New Roman"/>
        <family val="1"/>
      </rPr>
      <t>гвс з</t>
    </r>
    <r>
      <rPr>
        <sz val="11"/>
        <rFont val="Times New Roman"/>
        <family val="1"/>
      </rPr>
      <t>=Q</t>
    </r>
    <r>
      <rPr>
        <vertAlign val="subscript"/>
        <sz val="11"/>
        <rFont val="Times New Roman"/>
        <family val="1"/>
      </rPr>
      <t>гвс з</t>
    </r>
    <r>
      <rPr>
        <sz val="11"/>
        <rFont val="Times New Roman"/>
        <family val="1"/>
      </rPr>
      <t>*1000/(t</t>
    </r>
    <r>
      <rPr>
        <vertAlign val="subscript"/>
        <sz val="11"/>
        <rFont val="Times New Roman"/>
        <family val="1"/>
      </rPr>
      <t>гв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хв з</t>
    </r>
    <r>
      <rPr>
        <sz val="11"/>
        <rFont val="Times New Roman"/>
        <family val="1"/>
      </rPr>
      <t>)</t>
    </r>
  </si>
  <si>
    <r>
      <t>G</t>
    </r>
    <r>
      <rPr>
        <vertAlign val="subscript"/>
        <sz val="11"/>
        <rFont val="Times New Roman"/>
        <family val="1"/>
      </rPr>
      <t>гвс л</t>
    </r>
    <r>
      <rPr>
        <sz val="11"/>
        <rFont val="Times New Roman"/>
        <family val="1"/>
      </rPr>
      <t>=Q</t>
    </r>
    <r>
      <rPr>
        <vertAlign val="subscript"/>
        <sz val="11"/>
        <rFont val="Times New Roman"/>
        <family val="1"/>
      </rPr>
      <t>гвс</t>
    </r>
    <r>
      <rPr>
        <sz val="11"/>
        <rFont val="Times New Roman"/>
        <family val="1"/>
      </rPr>
      <t xml:space="preserve"> 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*1000/(t</t>
    </r>
    <r>
      <rPr>
        <vertAlign val="subscript"/>
        <sz val="11"/>
        <rFont val="Times New Roman"/>
        <family val="1"/>
      </rPr>
      <t>гв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хв л</t>
    </r>
    <r>
      <rPr>
        <sz val="11"/>
        <rFont val="Times New Roman"/>
        <family val="1"/>
      </rPr>
      <t>)</t>
    </r>
  </si>
  <si>
    <r>
      <t xml:space="preserve">Определение </t>
    </r>
    <r>
      <rPr>
        <sz val="11"/>
        <color indexed="10"/>
        <rFont val="Times New Roman"/>
        <family val="1"/>
      </rPr>
      <t>среднегодового</t>
    </r>
    <r>
      <rPr>
        <sz val="11"/>
        <rFont val="Times New Roman"/>
        <family val="1"/>
      </rPr>
      <t xml:space="preserve"> потребления тепла на нужды ГВС:</t>
    </r>
  </si>
  <si>
    <r>
      <t>Q</t>
    </r>
    <r>
      <rPr>
        <vertAlign val="subscript"/>
        <sz val="11"/>
        <rFont val="Times New Roman"/>
        <family val="1"/>
      </rPr>
      <t>гвс учб</t>
    </r>
    <r>
      <rPr>
        <sz val="11"/>
        <rFont val="Times New Roman"/>
        <family val="1"/>
      </rPr>
      <t>=(Q</t>
    </r>
    <r>
      <rPr>
        <vertAlign val="subscript"/>
        <sz val="11"/>
        <rFont val="Times New Roman"/>
        <family val="1"/>
      </rPr>
      <t>гвс з*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+Q</t>
    </r>
    <r>
      <rPr>
        <vertAlign val="subscript"/>
        <sz val="11"/>
        <rFont val="Times New Roman"/>
        <family val="1"/>
      </rPr>
      <t>гвс л*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 xml:space="preserve">-6   </t>
    </r>
    <r>
      <rPr>
        <sz val="11"/>
        <rFont val="Times New Roman"/>
        <family val="1"/>
      </rPr>
      <t>(Гкал/год);</t>
    </r>
  </si>
  <si>
    <r>
      <t>k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- коэффициент,учитывающий некруглосуточное (</t>
    </r>
    <r>
      <rPr>
        <sz val="11"/>
        <color indexed="10"/>
        <rFont val="Times New Roman"/>
        <family val="1"/>
      </rPr>
      <t>неполная</t>
    </r>
    <r>
      <rPr>
        <sz val="11"/>
        <rFont val="Times New Roman"/>
        <family val="1"/>
      </rPr>
      <t xml:space="preserve"> неделя) потребление горячей воды в  зданиях;</t>
    </r>
  </si>
  <si>
    <r>
      <t>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 xml:space="preserve"> -время работы системы ГВС в отопительный период   (час);</t>
    </r>
  </si>
  <si>
    <r>
      <t>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- продлжительность работы системы ГВС соответственно в летний период (час).</t>
    </r>
  </si>
  <si>
    <r>
      <t>t</t>
    </r>
    <r>
      <rPr>
        <b/>
        <vertAlign val="subscript"/>
        <sz val="11"/>
        <rFont val="Times New Roman"/>
        <family val="1"/>
      </rPr>
      <t>гв</t>
    </r>
  </si>
  <si>
    <r>
      <t>t</t>
    </r>
    <r>
      <rPr>
        <b/>
        <vertAlign val="subscript"/>
        <sz val="11"/>
        <rFont val="Times New Roman"/>
        <family val="1"/>
      </rPr>
      <t>хв з</t>
    </r>
  </si>
  <si>
    <r>
      <t>t</t>
    </r>
    <r>
      <rPr>
        <b/>
        <vertAlign val="subscript"/>
        <sz val="11"/>
        <rFont val="Times New Roman"/>
        <family val="1"/>
      </rPr>
      <t>хв л</t>
    </r>
  </si>
  <si>
    <r>
      <t>с</t>
    </r>
    <r>
      <rPr>
        <b/>
        <vertAlign val="subscript"/>
        <sz val="11"/>
        <rFont val="Times New Roman"/>
        <family val="1"/>
      </rPr>
      <t>в</t>
    </r>
  </si>
  <si>
    <r>
      <t>k</t>
    </r>
    <r>
      <rPr>
        <b/>
        <vertAlign val="subscript"/>
        <sz val="11"/>
        <rFont val="Times New Roman"/>
        <family val="1"/>
      </rPr>
      <t>н</t>
    </r>
  </si>
  <si>
    <r>
      <t>n</t>
    </r>
    <r>
      <rPr>
        <b/>
        <vertAlign val="subscript"/>
        <sz val="11"/>
        <rFont val="Times New Roman"/>
        <family val="1"/>
      </rPr>
      <t>л</t>
    </r>
  </si>
  <si>
    <r>
      <t>Q</t>
    </r>
    <r>
      <rPr>
        <b/>
        <vertAlign val="subscript"/>
        <sz val="11"/>
        <rFont val="Times New Roman"/>
        <family val="1"/>
      </rPr>
      <t>гвс.з</t>
    </r>
  </si>
  <si>
    <r>
      <t>Q</t>
    </r>
    <r>
      <rPr>
        <b/>
        <vertAlign val="subscript"/>
        <sz val="11"/>
        <rFont val="Times New Roman"/>
        <family val="1"/>
      </rPr>
      <t xml:space="preserve">гвс л </t>
    </r>
  </si>
  <si>
    <r>
      <t>Q</t>
    </r>
    <r>
      <rPr>
        <b/>
        <vertAlign val="subscript"/>
        <sz val="11"/>
        <rFont val="Times New Roman"/>
        <family val="1"/>
      </rPr>
      <t>гвс мах</t>
    </r>
  </si>
  <si>
    <r>
      <t>Q</t>
    </r>
    <r>
      <rPr>
        <b/>
        <vertAlign val="subscript"/>
        <sz val="11"/>
        <rFont val="Times New Roman"/>
        <family val="1"/>
      </rPr>
      <t xml:space="preserve">гвс </t>
    </r>
  </si>
  <si>
    <r>
      <t>G</t>
    </r>
    <r>
      <rPr>
        <b/>
        <vertAlign val="subscript"/>
        <sz val="11"/>
        <rFont val="Times New Roman"/>
        <family val="1"/>
      </rPr>
      <t>гвс з</t>
    </r>
  </si>
  <si>
    <r>
      <t>G</t>
    </r>
    <r>
      <rPr>
        <b/>
        <vertAlign val="subscript"/>
        <sz val="11"/>
        <rFont val="Times New Roman"/>
        <family val="1"/>
      </rPr>
      <t>гвс л</t>
    </r>
  </si>
  <si>
    <r>
      <t xml:space="preserve">Ккал/кг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</t>
    </r>
  </si>
  <si>
    <r>
      <t>Q</t>
    </r>
    <r>
      <rPr>
        <vertAlign val="subscript"/>
        <sz val="11"/>
        <rFont val="Times New Roman"/>
        <family val="1"/>
      </rPr>
      <t>тп</t>
    </r>
    <r>
      <rPr>
        <sz val="11"/>
        <rFont val="Times New Roman"/>
        <family val="1"/>
      </rPr>
      <t>={Σk</t>
    </r>
    <r>
      <rPr>
        <vertAlign val="subscript"/>
        <sz val="11"/>
        <rFont val="Times New Roman"/>
        <family val="1"/>
      </rPr>
      <t>i*</t>
    </r>
    <r>
      <rPr>
        <sz val="11"/>
        <rFont val="Times New Roman"/>
        <family val="1"/>
      </rPr>
      <t>d</t>
    </r>
    <r>
      <rPr>
        <vertAlign val="subscript"/>
        <sz val="11"/>
        <rFont val="Times New Roman"/>
        <family val="1"/>
      </rPr>
      <t>i*</t>
    </r>
    <r>
      <rPr>
        <sz val="11"/>
        <rFont val="Times New Roman"/>
        <family val="1"/>
      </rPr>
      <t>l</t>
    </r>
    <r>
      <rPr>
        <vertAlign val="subscript"/>
        <sz val="11"/>
        <rFont val="Times New Roman"/>
        <family val="1"/>
      </rPr>
      <t>i*</t>
    </r>
    <r>
      <rPr>
        <sz val="11"/>
        <rFont val="Times New Roman"/>
        <family val="1"/>
      </rPr>
      <t>(t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+t</t>
    </r>
    <r>
      <rPr>
        <vertAlign val="subscript"/>
        <sz val="11"/>
        <rFont val="Times New Roman"/>
        <family val="1"/>
      </rPr>
      <t>к</t>
    </r>
    <r>
      <rPr>
        <sz val="11"/>
        <rFont val="Times New Roman"/>
        <family val="1"/>
      </rPr>
      <t>)/2-t</t>
    </r>
    <r>
      <rPr>
        <vertAlign val="subscript"/>
        <sz val="11"/>
        <rFont val="Times New Roman"/>
        <family val="1"/>
      </rPr>
      <t>окр</t>
    </r>
    <r>
      <rPr>
        <sz val="11"/>
        <rFont val="Times New Roman"/>
        <family val="1"/>
      </rPr>
      <t>}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(1-η)      ( Ккал/час )</t>
    </r>
  </si>
  <si>
    <r>
      <t>k</t>
    </r>
    <r>
      <rPr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>- коэффициент теплопередачи участка неизолированной трубы, Ккал/м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ч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С;</t>
    </r>
  </si>
  <si>
    <r>
      <t>d</t>
    </r>
    <r>
      <rPr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>,l</t>
    </r>
    <r>
      <rPr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>-  наружный диаметр трубопровода участка ГВС и его длина, м;</t>
    </r>
  </si>
  <si>
    <r>
      <t>t</t>
    </r>
    <r>
      <rPr>
        <vertAlign val="subscript"/>
        <sz val="11"/>
        <rFont val="Times New Roman"/>
        <family val="1"/>
      </rPr>
      <t>окр</t>
    </r>
    <r>
      <rPr>
        <sz val="11"/>
        <rFont val="Times New Roman"/>
        <family val="1"/>
      </rPr>
      <t xml:space="preserve">- температура окружающей среды,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 xml:space="preserve">С, (принимается по виду прокладки труб); </t>
    </r>
  </si>
  <si>
    <r>
      <t>t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,t</t>
    </r>
    <r>
      <rPr>
        <vertAlign val="subscript"/>
        <sz val="11"/>
        <rFont val="Times New Roman"/>
        <family val="1"/>
      </rPr>
      <t>к</t>
    </r>
    <r>
      <rPr>
        <sz val="11"/>
        <rFont val="Times New Roman"/>
        <family val="1"/>
      </rPr>
      <t xml:space="preserve">- температура горячей воды в начале и в конце расчетного участка трубы,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С;</t>
    </r>
  </si>
  <si>
    <r>
      <t xml:space="preserve"> </t>
    </r>
    <r>
      <rPr>
        <b/>
        <sz val="11"/>
        <rFont val="Times New Roman"/>
        <family val="1"/>
      </rPr>
      <t>Примечание</t>
    </r>
    <r>
      <rPr>
        <sz val="11"/>
        <rFont val="Times New Roman"/>
        <family val="1"/>
      </rPr>
      <t>: при отсутствии данных для расчета определение  тепловых потерь в местных системах ГВС определяется по формуле :</t>
    </r>
  </si>
  <si>
    <r>
      <t>Q</t>
    </r>
    <r>
      <rPr>
        <vertAlign val="subscript"/>
        <sz val="11"/>
        <rFont val="Times New Roman"/>
        <family val="1"/>
      </rPr>
      <t>тп</t>
    </r>
    <r>
      <rPr>
        <sz val="11"/>
        <rFont val="Times New Roman"/>
        <family val="1"/>
      </rPr>
      <t>=Q</t>
    </r>
    <r>
      <rPr>
        <vertAlign val="subscript"/>
        <sz val="11"/>
        <rFont val="Times New Roman"/>
        <family val="1"/>
      </rPr>
      <t>гвс з*</t>
    </r>
    <r>
      <rPr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т</t>
    </r>
    <r>
      <rPr>
        <sz val="11"/>
        <rFont val="Times New Roman"/>
        <family val="1"/>
      </rPr>
      <t>,   Гкал/год;</t>
    </r>
  </si>
  <si>
    <r>
      <t>k</t>
    </r>
    <r>
      <rPr>
        <vertAlign val="subscript"/>
        <sz val="11"/>
        <rFont val="Times New Roman"/>
        <family val="1"/>
      </rPr>
      <t>т</t>
    </r>
    <r>
      <rPr>
        <sz val="11"/>
        <rFont val="Times New Roman"/>
        <family val="1"/>
      </rPr>
      <t xml:space="preserve"> - коэффициент, учитывающий тепловые потери в местных системах ГВС, k</t>
    </r>
    <r>
      <rPr>
        <vertAlign val="subscript"/>
        <sz val="11"/>
        <rFont val="Times New Roman"/>
        <family val="1"/>
      </rPr>
      <t>т</t>
    </r>
    <r>
      <rPr>
        <sz val="11"/>
        <rFont val="Times New Roman"/>
        <family val="1"/>
      </rPr>
      <t xml:space="preserve"> = </t>
    </r>
  </si>
  <si>
    <r>
      <t>Q</t>
    </r>
    <r>
      <rPr>
        <vertAlign val="subscript"/>
        <sz val="11"/>
        <rFont val="Times New Roman"/>
        <family val="1"/>
      </rPr>
      <t>ут.год</t>
    </r>
    <r>
      <rPr>
        <sz val="11"/>
        <rFont val="Times New Roman"/>
        <family val="1"/>
      </rPr>
      <t>=g</t>
    </r>
    <r>
      <rPr>
        <vertAlign val="subscript"/>
        <sz val="11"/>
        <rFont val="Times New Roman"/>
        <family val="1"/>
      </rPr>
      <t>ут.год*</t>
    </r>
    <r>
      <rPr>
        <sz val="11"/>
        <rFont val="Times New Roman"/>
        <family val="1"/>
      </rPr>
      <t>ρ</t>
    </r>
    <r>
      <rPr>
        <vertAlign val="subscript"/>
        <sz val="11"/>
        <rFont val="Times New Roman"/>
        <family val="1"/>
      </rPr>
      <t>о год*</t>
    </r>
    <r>
      <rPr>
        <sz val="11"/>
        <rFont val="Times New Roman"/>
        <family val="1"/>
      </rPr>
      <t>с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{b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t</t>
    </r>
    <r>
      <rPr>
        <vertAlign val="subscript"/>
        <sz val="11"/>
        <rFont val="Times New Roman"/>
        <family val="1"/>
      </rPr>
      <t>1 год</t>
    </r>
    <r>
      <rPr>
        <sz val="11"/>
        <rFont val="Times New Roman"/>
        <family val="1"/>
      </rPr>
      <t>+(1-b)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t</t>
    </r>
    <r>
      <rPr>
        <vertAlign val="subscript"/>
        <sz val="11"/>
        <rFont val="Times New Roman"/>
        <family val="1"/>
      </rPr>
      <t>2 год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хв</t>
    </r>
    <r>
      <rPr>
        <sz val="11"/>
        <rFont val="Times New Roman"/>
        <family val="1"/>
      </rPr>
      <t>}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r>
      <rPr>
        <sz val="11"/>
        <rFont val="Times New Roman"/>
        <family val="1"/>
      </rPr>
      <t xml:space="preserve"> , Гкал/год</t>
    </r>
  </si>
  <si>
    <r>
      <t>g</t>
    </r>
    <r>
      <rPr>
        <vertAlign val="subscript"/>
        <sz val="11"/>
        <rFont val="Times New Roman"/>
        <family val="1"/>
      </rPr>
      <t>ут.год</t>
    </r>
    <r>
      <rPr>
        <sz val="11"/>
        <rFont val="Times New Roman"/>
        <family val="1"/>
      </rPr>
      <t>=g</t>
    </r>
    <r>
      <rPr>
        <vertAlign val="subscript"/>
        <sz val="11"/>
        <rFont val="Times New Roman"/>
        <family val="1"/>
      </rPr>
      <t>ут н з*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/n+g</t>
    </r>
    <r>
      <rPr>
        <vertAlign val="subscript"/>
        <sz val="11"/>
        <rFont val="Times New Roman"/>
        <family val="1"/>
      </rPr>
      <t>ут н л*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/n- среднечасовая норма потерь теплоносителя, обусловленная утечкой,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/час;</t>
    </r>
  </si>
  <si>
    <r>
      <t>ρ</t>
    </r>
    <r>
      <rPr>
        <vertAlign val="subscript"/>
        <sz val="11"/>
        <rFont val="Times New Roman"/>
        <family val="1"/>
      </rPr>
      <t>о год</t>
    </r>
    <r>
      <rPr>
        <sz val="11"/>
        <rFont val="Times New Roman"/>
        <family val="1"/>
      </rPr>
      <t>-среднегодовая плотность теплоносителя при среднем значении температуры теплоносителя в подающем и обратном трубопроводах</t>
    </r>
  </si>
  <si>
    <r>
      <t>тепловой сети,кг/м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;</t>
    </r>
  </si>
  <si>
    <r>
      <t xml:space="preserve"> с - удельная  теплоемкость  теплоносителя  (сетевой   воды), Ккал/кг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С;</t>
    </r>
  </si>
  <si>
    <r>
      <t>t</t>
    </r>
    <r>
      <rPr>
        <vertAlign val="subscript"/>
        <sz val="11"/>
        <rFont val="Times New Roman"/>
        <family val="1"/>
      </rPr>
      <t>1 год</t>
    </r>
    <r>
      <rPr>
        <sz val="11"/>
        <rFont val="Times New Roman"/>
        <family val="1"/>
      </rPr>
      <t>,t</t>
    </r>
    <r>
      <rPr>
        <vertAlign val="subscript"/>
        <sz val="11"/>
        <rFont val="Times New Roman"/>
        <family val="1"/>
      </rPr>
      <t>2 год</t>
    </r>
    <r>
      <rPr>
        <sz val="11"/>
        <rFont val="Times New Roman"/>
        <family val="1"/>
      </rPr>
      <t xml:space="preserve"> - среднегодовые  значения   температуры  теплоносителя в подающем и обратном трубопроводах тепловой сети, 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 xml:space="preserve">С;  </t>
    </r>
  </si>
  <si>
    <r>
      <t xml:space="preserve">         t</t>
    </r>
    <r>
      <rPr>
        <vertAlign val="subscript"/>
        <sz val="11"/>
        <rFont val="Times New Roman"/>
        <family val="1"/>
      </rPr>
      <t>1 год</t>
    </r>
    <r>
      <rPr>
        <sz val="11"/>
        <rFont val="Times New Roman"/>
        <family val="1"/>
      </rPr>
      <t>=</t>
    </r>
  </si>
  <si>
    <r>
      <t xml:space="preserve">      t</t>
    </r>
    <r>
      <rPr>
        <vertAlign val="subscript"/>
        <sz val="11"/>
        <rFont val="Times New Roman"/>
        <family val="1"/>
      </rPr>
      <t>2 год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</si>
  <si>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хв</t>
    </r>
    <r>
      <rPr>
        <sz val="11"/>
        <rFont val="Times New Roman"/>
        <family val="1"/>
      </rPr>
      <t xml:space="preserve"> - среднегодовое значение температуры холодной воды, оС;        t</t>
    </r>
    <r>
      <rPr>
        <vertAlign val="subscript"/>
        <sz val="11"/>
        <rFont val="Times New Roman"/>
        <family val="1"/>
      </rPr>
      <t>хв</t>
    </r>
    <r>
      <rPr>
        <sz val="11"/>
        <rFont val="Times New Roman"/>
        <family val="1"/>
      </rPr>
      <t>=</t>
    </r>
  </si>
  <si>
    <r>
      <t>О</t>
    </r>
    <r>
      <rPr>
        <sz val="11"/>
        <rFont val="Times New Roman"/>
        <family val="1"/>
      </rPr>
      <t>С;</t>
    </r>
  </si>
  <si>
    <r>
      <t>t</t>
    </r>
    <r>
      <rPr>
        <vertAlign val="subscript"/>
        <sz val="11"/>
        <rFont val="Times New Roman"/>
        <family val="1"/>
      </rPr>
      <t>хв год</t>
    </r>
    <r>
      <rPr>
        <sz val="11"/>
        <rFont val="Times New Roman"/>
        <family val="1"/>
      </rPr>
      <t>=(t</t>
    </r>
    <r>
      <rPr>
        <vertAlign val="subscript"/>
        <sz val="11"/>
        <rFont val="Times New Roman"/>
        <family val="1"/>
      </rPr>
      <t>хв з*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</t>
    </r>
    <r>
      <rPr>
        <sz val="11"/>
        <rFont val="Times New Roman"/>
        <family val="1"/>
      </rPr>
      <t>+t</t>
    </r>
    <r>
      <rPr>
        <vertAlign val="subscript"/>
        <sz val="11"/>
        <rFont val="Times New Roman"/>
        <family val="1"/>
      </rPr>
      <t>хв л*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)/(n</t>
    </r>
    <r>
      <rPr>
        <vertAlign val="subscript"/>
        <sz val="11"/>
        <rFont val="Times New Roman"/>
        <family val="1"/>
      </rPr>
      <t>з</t>
    </r>
    <r>
      <rPr>
        <sz val="11"/>
        <rFont val="Times New Roman"/>
        <family val="1"/>
      </rPr>
      <t>+n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)</t>
    </r>
  </si>
  <si>
    <r>
      <t>t</t>
    </r>
    <r>
      <rPr>
        <vertAlign val="subscript"/>
        <sz val="11"/>
        <rFont val="Times New Roman"/>
        <family val="1"/>
      </rPr>
      <t>1год</t>
    </r>
    <r>
      <rPr>
        <sz val="11"/>
        <rFont val="Times New Roman"/>
        <family val="1"/>
      </rPr>
      <t>=(t</t>
    </r>
    <r>
      <rPr>
        <vertAlign val="subscript"/>
        <sz val="11"/>
        <rFont val="Times New Roman"/>
        <family val="1"/>
      </rPr>
      <t>п*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+t</t>
    </r>
    <r>
      <rPr>
        <vertAlign val="subscript"/>
        <sz val="11"/>
        <rFont val="Times New Roman"/>
        <family val="1"/>
      </rPr>
      <t>п*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)/(n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+n</t>
    </r>
    <r>
      <rPr>
        <vertAlign val="subscript"/>
        <sz val="11"/>
        <rFont val="Times New Roman"/>
        <family val="1"/>
      </rPr>
      <t>л)</t>
    </r>
  </si>
  <si>
    <r>
      <t>t</t>
    </r>
    <r>
      <rPr>
        <vertAlign val="subscript"/>
        <sz val="11"/>
        <rFont val="Times New Roman"/>
        <family val="1"/>
      </rPr>
      <t>2год</t>
    </r>
    <r>
      <rPr>
        <sz val="11"/>
        <rFont val="Times New Roman"/>
        <family val="1"/>
      </rPr>
      <t>=(t</t>
    </r>
    <r>
      <rPr>
        <vertAlign val="subscript"/>
        <sz val="11"/>
        <rFont val="Times New Roman"/>
        <family val="1"/>
      </rPr>
      <t>о*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+t</t>
    </r>
    <r>
      <rPr>
        <vertAlign val="subscript"/>
        <sz val="11"/>
        <rFont val="Times New Roman"/>
        <family val="1"/>
      </rPr>
      <t>о*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)/(n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+n</t>
    </r>
    <r>
      <rPr>
        <vertAlign val="subscript"/>
        <sz val="11"/>
        <rFont val="Times New Roman"/>
        <family val="1"/>
      </rPr>
      <t>л)</t>
    </r>
  </si>
  <si>
    <r>
      <t>g</t>
    </r>
    <r>
      <rPr>
        <vertAlign val="subscript"/>
        <sz val="11"/>
        <rFont val="Times New Roman"/>
        <family val="1"/>
      </rPr>
      <t>ут н з</t>
    </r>
    <r>
      <rPr>
        <sz val="11"/>
        <rFont val="Times New Roman"/>
        <family val="1"/>
      </rPr>
      <t>=(a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V</t>
    </r>
    <r>
      <rPr>
        <vertAlign val="subscript"/>
        <sz val="11"/>
        <rFont val="Times New Roman"/>
        <family val="1"/>
      </rPr>
      <t>з*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/n)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 xml:space="preserve">-2 </t>
    </r>
    <r>
      <rPr>
        <sz val="11"/>
        <rFont val="Times New Roman"/>
        <family val="1"/>
      </rPr>
      <t>,м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 -  в отопительный период;</t>
    </r>
  </si>
  <si>
    <r>
      <t>g</t>
    </r>
    <r>
      <rPr>
        <vertAlign val="subscript"/>
        <sz val="11"/>
        <rFont val="Times New Roman"/>
        <family val="1"/>
      </rPr>
      <t>ут н л</t>
    </r>
    <r>
      <rPr>
        <sz val="11"/>
        <rFont val="Times New Roman"/>
        <family val="1"/>
      </rPr>
      <t>=(a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V</t>
    </r>
    <r>
      <rPr>
        <vertAlign val="subscript"/>
        <sz val="11"/>
        <rFont val="Times New Roman"/>
        <family val="1"/>
      </rPr>
      <t>л*</t>
    </r>
    <r>
      <rPr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/n)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-2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/час - в </t>
    </r>
    <r>
      <rPr>
        <sz val="11"/>
        <color indexed="10"/>
        <rFont val="Times New Roman"/>
        <family val="1"/>
      </rPr>
      <t>неотопительный</t>
    </r>
    <r>
      <rPr>
        <sz val="11"/>
        <rFont val="Times New Roman"/>
        <family val="1"/>
      </rPr>
      <t xml:space="preserve"> период;</t>
    </r>
  </si>
  <si>
    <r>
      <t>a -норма  среднегодовой  утечки  теплоносителя, 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, установленная   Правилами    [Л-2]   в    пределах    0,25%</t>
    </r>
  </si>
  <si>
    <r>
      <t>V</t>
    </r>
    <r>
      <rPr>
        <vertAlign val="subscript"/>
        <sz val="11"/>
        <rFont val="Times New Roman"/>
        <family val="1"/>
      </rPr>
      <t>з</t>
    </r>
    <r>
      <rPr>
        <sz val="11"/>
        <rFont val="Times New Roman"/>
        <family val="1"/>
      </rPr>
      <t>, V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 xml:space="preserve"> - емкость систем теплопотребления   в   отопительном   и  </t>
    </r>
    <r>
      <rPr>
        <sz val="11"/>
        <color indexed="10"/>
        <rFont val="Times New Roman"/>
        <family val="1"/>
      </rPr>
      <t>неотопительном</t>
    </r>
    <r>
      <rPr>
        <sz val="11"/>
        <rFont val="Times New Roman"/>
        <family val="1"/>
      </rPr>
      <t xml:space="preserve"> периодах,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;</t>
    </r>
  </si>
  <si>
    <r>
      <t>n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 xml:space="preserve"> -продолжительность  функционирования  тепловой  сети   в отопительном и неотопительном периодах, ч.</t>
    </r>
  </si>
  <si>
    <r>
      <t xml:space="preserve">Определение емкости системы теплопотребления в </t>
    </r>
    <r>
      <rPr>
        <sz val="11"/>
        <color indexed="10"/>
        <rFont val="Times New Roman"/>
        <family val="1"/>
      </rPr>
      <t>неотопительный</t>
    </r>
    <r>
      <rPr>
        <sz val="11"/>
        <rFont val="Times New Roman"/>
        <family val="1"/>
      </rPr>
      <t xml:space="preserve"> период:</t>
    </r>
  </si>
  <si>
    <r>
      <t>V</t>
    </r>
    <r>
      <rPr>
        <vertAlign val="subscript"/>
        <sz val="11"/>
        <rFont val="Times New Roman"/>
        <family val="1"/>
      </rPr>
      <t>л</t>
    </r>
    <r>
      <rPr>
        <sz val="11"/>
        <rFont val="Times New Roman"/>
        <family val="1"/>
      </rPr>
      <t>=(V</t>
    </r>
    <r>
      <rPr>
        <vertAlign val="subscript"/>
        <sz val="11"/>
        <rFont val="Times New Roman"/>
        <family val="1"/>
      </rPr>
      <t>тс</t>
    </r>
    <r>
      <rPr>
        <sz val="11"/>
        <rFont val="Times New Roman"/>
        <family val="1"/>
      </rPr>
      <t>+V</t>
    </r>
    <r>
      <rPr>
        <vertAlign val="subscript"/>
        <sz val="11"/>
        <rFont val="Times New Roman"/>
        <family val="1"/>
      </rPr>
      <t>гвс.л</t>
    </r>
    <r>
      <rPr>
        <sz val="11"/>
        <rFont val="Times New Roman"/>
        <family val="1"/>
      </rPr>
      <t>)=2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Σ(V</t>
    </r>
    <r>
      <rPr>
        <vertAlign val="subscript"/>
        <sz val="11"/>
        <rFont val="Times New Roman"/>
        <family val="1"/>
      </rPr>
      <t>уд.тс*</t>
    </r>
    <r>
      <rPr>
        <sz val="11"/>
        <rFont val="Times New Roman"/>
        <family val="1"/>
      </rPr>
      <t>L</t>
    </r>
    <r>
      <rPr>
        <vertAlign val="subscript"/>
        <sz val="11"/>
        <rFont val="Times New Roman"/>
        <family val="1"/>
      </rPr>
      <t>тс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+Q</t>
    </r>
    <r>
      <rPr>
        <vertAlign val="subscript"/>
        <sz val="11"/>
        <rFont val="Times New Roman"/>
        <family val="1"/>
      </rPr>
      <t>гвс.л*</t>
    </r>
    <r>
      <rPr>
        <sz val="11"/>
        <rFont val="Times New Roman"/>
        <family val="1"/>
      </rPr>
      <t>V</t>
    </r>
    <r>
      <rPr>
        <vertAlign val="subscript"/>
        <sz val="11"/>
        <rFont val="Times New Roman"/>
        <family val="1"/>
      </rPr>
      <t>уд.гвс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;</t>
    </r>
  </si>
  <si>
    <r>
      <t>V</t>
    </r>
    <r>
      <rPr>
        <vertAlign val="subscript"/>
        <sz val="11"/>
        <rFont val="Times New Roman"/>
        <family val="1"/>
      </rPr>
      <t>тс</t>
    </r>
    <r>
      <rPr>
        <sz val="11"/>
        <rFont val="Times New Roman"/>
        <family val="1"/>
      </rPr>
      <t>=2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Σ(V</t>
    </r>
    <r>
      <rPr>
        <vertAlign val="subscript"/>
        <sz val="11"/>
        <rFont val="Times New Roman"/>
        <family val="1"/>
      </rPr>
      <t>уд.тс*</t>
    </r>
    <r>
      <rPr>
        <sz val="11"/>
        <rFont val="Times New Roman"/>
        <family val="1"/>
      </rPr>
      <t>L</t>
    </r>
    <r>
      <rPr>
        <vertAlign val="subscript"/>
        <sz val="11"/>
        <rFont val="Times New Roman"/>
        <family val="1"/>
      </rPr>
      <t>тс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-емкость тепловой сети, м3:</t>
    </r>
  </si>
  <si>
    <r>
      <t>V</t>
    </r>
    <r>
      <rPr>
        <vertAlign val="subscript"/>
        <sz val="11"/>
        <rFont val="Times New Roman"/>
        <family val="1"/>
      </rPr>
      <t xml:space="preserve">уд.тс </t>
    </r>
    <r>
      <rPr>
        <sz val="11"/>
        <rFont val="Times New Roman"/>
        <family val="1"/>
      </rPr>
      <t>- удельная емкость трубопроводов одного диаметра тепловой сети Абонента(определяется по табл. 6.1 приложения №6 [Л-4]) 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/км </t>
    </r>
  </si>
  <si>
    <r>
      <t>L</t>
    </r>
    <r>
      <rPr>
        <vertAlign val="subscript"/>
        <sz val="11"/>
        <rFont val="Times New Roman"/>
        <family val="1"/>
      </rPr>
      <t>тс</t>
    </r>
    <r>
      <rPr>
        <sz val="11"/>
        <rFont val="Times New Roman"/>
        <family val="1"/>
      </rPr>
      <t xml:space="preserve">- протяженность участков подающего(обратного) трубопровода одного диаметра тепловой сети, м;  </t>
    </r>
  </si>
  <si>
    <r>
      <t>V</t>
    </r>
    <r>
      <rPr>
        <vertAlign val="subscript"/>
        <sz val="11"/>
        <rFont val="Times New Roman"/>
        <family val="1"/>
      </rPr>
      <t>уд.гвс</t>
    </r>
    <r>
      <rPr>
        <sz val="11"/>
        <rFont val="Times New Roman"/>
        <family val="1"/>
      </rPr>
      <t>- удельная емкость внутренних систем ГВС,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час/Гкал ( при отсутствии данных принимается равным: 6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час/Гкал)</t>
    </r>
  </si>
  <si>
    <r>
      <t>Определение емкости тепловой сети и системы теплопотребления в  отопительный период,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:</t>
    </r>
  </si>
  <si>
    <r>
      <t>V</t>
    </r>
    <r>
      <rPr>
        <vertAlign val="subscript"/>
        <sz val="11"/>
        <rFont val="Times New Roman"/>
        <family val="1"/>
      </rPr>
      <t>з</t>
    </r>
    <r>
      <rPr>
        <sz val="11"/>
        <rFont val="Times New Roman"/>
        <family val="1"/>
      </rPr>
      <t>=(V</t>
    </r>
    <r>
      <rPr>
        <vertAlign val="subscript"/>
        <sz val="11"/>
        <rFont val="Times New Roman"/>
        <family val="1"/>
      </rPr>
      <t>тс</t>
    </r>
    <r>
      <rPr>
        <sz val="11"/>
        <rFont val="Times New Roman"/>
        <family val="1"/>
      </rPr>
      <t>+V</t>
    </r>
    <r>
      <rPr>
        <vertAlign val="subscript"/>
        <sz val="11"/>
        <rFont val="Times New Roman"/>
        <family val="1"/>
      </rPr>
      <t>от</t>
    </r>
    <r>
      <rPr>
        <sz val="11"/>
        <rFont val="Times New Roman"/>
        <family val="1"/>
      </rPr>
      <t>+V</t>
    </r>
    <r>
      <rPr>
        <vertAlign val="subscript"/>
        <sz val="11"/>
        <rFont val="Times New Roman"/>
        <family val="1"/>
      </rPr>
      <t>гвс.з</t>
    </r>
    <r>
      <rPr>
        <sz val="11"/>
        <rFont val="Times New Roman"/>
        <family val="1"/>
      </rPr>
      <t>)=2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Σ(V</t>
    </r>
    <r>
      <rPr>
        <vertAlign val="subscript"/>
        <sz val="11"/>
        <rFont val="Times New Roman"/>
        <family val="1"/>
      </rPr>
      <t>уд.тс*</t>
    </r>
    <r>
      <rPr>
        <sz val="11"/>
        <rFont val="Times New Roman"/>
        <family val="1"/>
      </rPr>
      <t>L</t>
    </r>
    <r>
      <rPr>
        <vertAlign val="subscript"/>
        <sz val="11"/>
        <rFont val="Times New Roman"/>
        <family val="1"/>
      </rPr>
      <t>тс</t>
    </r>
    <r>
      <rPr>
        <sz val="11"/>
        <rFont val="Times New Roman"/>
        <family val="1"/>
      </rPr>
      <t>)+Q</t>
    </r>
    <r>
      <rPr>
        <vertAlign val="subscript"/>
        <sz val="11"/>
        <rFont val="Times New Roman"/>
        <family val="1"/>
      </rPr>
      <t>о*</t>
    </r>
    <r>
      <rPr>
        <sz val="11"/>
        <rFont val="Times New Roman"/>
        <family val="1"/>
      </rPr>
      <t>V</t>
    </r>
    <r>
      <rPr>
        <vertAlign val="subscript"/>
        <sz val="11"/>
        <rFont val="Times New Roman"/>
        <family val="1"/>
      </rPr>
      <t>уд.от</t>
    </r>
    <r>
      <rPr>
        <sz val="11"/>
        <rFont val="Times New Roman"/>
        <family val="1"/>
      </rPr>
      <t>+Q</t>
    </r>
    <r>
      <rPr>
        <vertAlign val="subscript"/>
        <sz val="11"/>
        <rFont val="Times New Roman"/>
        <family val="1"/>
      </rPr>
      <t>гвс.з</t>
    </r>
    <r>
      <rPr>
        <sz val="11"/>
        <rFont val="Times New Roman"/>
        <family val="1"/>
      </rPr>
      <t>*V</t>
    </r>
    <r>
      <rPr>
        <vertAlign val="subscript"/>
        <sz val="11"/>
        <rFont val="Times New Roman"/>
        <family val="1"/>
      </rPr>
      <t>уд.гвс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;</t>
    </r>
  </si>
  <si>
    <r>
      <t>V</t>
    </r>
    <r>
      <rPr>
        <vertAlign val="subscript"/>
        <sz val="11"/>
        <rFont val="Times New Roman"/>
        <family val="1"/>
      </rPr>
      <t xml:space="preserve">уд.от </t>
    </r>
    <r>
      <rPr>
        <sz val="11"/>
        <rFont val="Times New Roman"/>
        <family val="1"/>
      </rPr>
      <t>- удельная емкость внутренней системы отопления Абонента (определяется по табл. 7.1 приложения №7 [Л-4]),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час/Гкал, </t>
    </r>
  </si>
  <si>
    <r>
      <t>G</t>
    </r>
    <r>
      <rPr>
        <vertAlign val="subscript"/>
        <sz val="11"/>
        <rFont val="Times New Roman"/>
        <family val="1"/>
      </rPr>
      <t>ут</t>
    </r>
    <r>
      <rPr>
        <sz val="11"/>
        <rFont val="Times New Roman"/>
        <family val="1"/>
      </rPr>
      <t>=0,0025*V*p</t>
    </r>
    <r>
      <rPr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*0,001</t>
    </r>
  </si>
  <si>
    <r>
      <t>Qут=0,0025*V*p</t>
    </r>
    <r>
      <rPr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*(0,75h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+0,25h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-h</t>
    </r>
    <r>
      <rPr>
        <vertAlign val="subscript"/>
        <sz val="11"/>
        <rFont val="Times New Roman"/>
        <family val="1"/>
      </rPr>
      <t>хв</t>
    </r>
    <r>
      <rPr>
        <sz val="11"/>
        <rFont val="Times New Roman"/>
        <family val="1"/>
      </rPr>
      <t>)*0,000001</t>
    </r>
  </si>
  <si>
    <r>
      <t>h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,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и h</t>
    </r>
    <r>
      <rPr>
        <vertAlign val="subscript"/>
        <sz val="11"/>
        <rFont val="Times New Roman"/>
        <family val="1"/>
      </rPr>
      <t>хв</t>
    </r>
    <r>
      <rPr>
        <sz val="11"/>
        <rFont val="Times New Roman"/>
        <family val="1"/>
      </rPr>
      <t xml:space="preserve"> - значения энтальпии теплоносителя в подающем и обратном трубопроводах тепловой сети и исходной холодной воды на источнике теплоснабжения, ккал/кг.</t>
    </r>
  </si>
  <si>
    <r>
      <t>d</t>
    </r>
    <r>
      <rPr>
        <b/>
        <vertAlign val="subscript"/>
        <sz val="11"/>
        <rFont val="Times New Roman"/>
        <family val="1"/>
      </rPr>
      <t>внутр.</t>
    </r>
  </si>
  <si>
    <r>
      <t>L</t>
    </r>
    <r>
      <rPr>
        <b/>
        <vertAlign val="subscript"/>
        <sz val="11"/>
        <rFont val="Times New Roman"/>
        <family val="1"/>
      </rPr>
      <t>тс</t>
    </r>
  </si>
  <si>
    <r>
      <t>V</t>
    </r>
    <r>
      <rPr>
        <b/>
        <vertAlign val="subscript"/>
        <sz val="11"/>
        <rFont val="Times New Roman"/>
        <family val="1"/>
      </rPr>
      <t>уд.тс</t>
    </r>
  </si>
  <si>
    <r>
      <t>V</t>
    </r>
    <r>
      <rPr>
        <b/>
        <vertAlign val="subscript"/>
        <sz val="11"/>
        <rFont val="Times New Roman"/>
        <family val="1"/>
      </rPr>
      <t>тс</t>
    </r>
  </si>
  <si>
    <r>
      <t>V</t>
    </r>
    <r>
      <rPr>
        <b/>
        <vertAlign val="subscript"/>
        <sz val="11"/>
        <rFont val="Times New Roman"/>
        <family val="1"/>
      </rPr>
      <t>уд.от</t>
    </r>
  </si>
  <si>
    <r>
      <t>V</t>
    </r>
    <r>
      <rPr>
        <b/>
        <vertAlign val="subscript"/>
        <sz val="11"/>
        <rFont val="Times New Roman"/>
        <family val="1"/>
      </rPr>
      <t>от</t>
    </r>
  </si>
  <si>
    <r>
      <t>V</t>
    </r>
    <r>
      <rPr>
        <b/>
        <vertAlign val="subscript"/>
        <sz val="11"/>
        <rFont val="Times New Roman"/>
        <family val="1"/>
      </rPr>
      <t>уд.гвс</t>
    </r>
  </si>
  <si>
    <r>
      <t>V</t>
    </r>
    <r>
      <rPr>
        <b/>
        <vertAlign val="subscript"/>
        <sz val="11"/>
        <rFont val="Times New Roman"/>
        <family val="1"/>
      </rPr>
      <t>гвс.з</t>
    </r>
  </si>
  <si>
    <r>
      <t>V</t>
    </r>
    <r>
      <rPr>
        <b/>
        <vertAlign val="subscript"/>
        <sz val="11"/>
        <rFont val="Times New Roman"/>
        <family val="1"/>
      </rPr>
      <t>гвс.л</t>
    </r>
  </si>
  <si>
    <r>
      <t>g</t>
    </r>
    <r>
      <rPr>
        <b/>
        <vertAlign val="subscript"/>
        <sz val="11"/>
        <rFont val="Times New Roman"/>
        <family val="1"/>
      </rPr>
      <t>ут.н.з</t>
    </r>
  </si>
  <si>
    <r>
      <t>g</t>
    </r>
    <r>
      <rPr>
        <b/>
        <vertAlign val="subscript"/>
        <sz val="11"/>
        <rFont val="Times New Roman"/>
        <family val="1"/>
      </rPr>
      <t>ут.н.л</t>
    </r>
  </si>
  <si>
    <r>
      <t>g</t>
    </r>
    <r>
      <rPr>
        <b/>
        <vertAlign val="subscript"/>
        <sz val="11"/>
        <rFont val="Times New Roman"/>
        <family val="1"/>
      </rPr>
      <t>ут.год</t>
    </r>
  </si>
  <si>
    <r>
      <t>Q</t>
    </r>
    <r>
      <rPr>
        <b/>
        <vertAlign val="subscript"/>
        <sz val="11"/>
        <rFont val="Times New Roman"/>
        <family val="1"/>
      </rPr>
      <t>ут.год</t>
    </r>
  </si>
  <si>
    <r>
      <t>V</t>
    </r>
    <r>
      <rPr>
        <b/>
        <vertAlign val="subscript"/>
        <sz val="11"/>
        <rFont val="Times New Roman"/>
        <family val="1"/>
      </rPr>
      <t>з</t>
    </r>
  </si>
  <si>
    <r>
      <t>V</t>
    </r>
    <r>
      <rPr>
        <b/>
        <vertAlign val="subscript"/>
        <sz val="11"/>
        <rFont val="Times New Roman"/>
        <family val="1"/>
      </rPr>
      <t>л</t>
    </r>
  </si>
  <si>
    <r>
      <t>G</t>
    </r>
    <r>
      <rPr>
        <b/>
        <vertAlign val="subscript"/>
        <sz val="11"/>
        <rFont val="Times New Roman"/>
        <family val="1"/>
      </rPr>
      <t>ут</t>
    </r>
  </si>
  <si>
    <r>
      <t>Q</t>
    </r>
    <r>
      <rPr>
        <b/>
        <vertAlign val="subscript"/>
        <sz val="11"/>
        <rFont val="Times New Roman"/>
        <family val="1"/>
      </rPr>
      <t>ут.час</t>
    </r>
  </si>
  <si>
    <r>
      <t>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/км</t>
    </r>
  </si>
  <si>
    <r>
      <t xml:space="preserve">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ч/Гкал</t>
    </r>
  </si>
  <si>
    <r>
      <t>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</si>
  <si>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r>
      <t>Q</t>
    </r>
    <r>
      <rPr>
        <vertAlign val="subscript"/>
        <sz val="11"/>
        <rFont val="Times New Roman"/>
        <family val="1"/>
      </rPr>
      <t>из н год</t>
    </r>
    <r>
      <rPr>
        <sz val="11"/>
        <rFont val="Times New Roman"/>
        <family val="1"/>
      </rPr>
      <t>=Σ(g</t>
    </r>
    <r>
      <rPr>
        <vertAlign val="subscript"/>
        <sz val="11"/>
        <rFont val="Times New Roman"/>
        <family val="1"/>
      </rPr>
      <t>из н*</t>
    </r>
    <r>
      <rPr>
        <sz val="11"/>
        <rFont val="Times New Roman"/>
        <family val="1"/>
      </rPr>
      <t>l</t>
    </r>
    <r>
      <rPr>
        <vertAlign val="subscript"/>
        <sz val="11"/>
        <rFont val="Times New Roman"/>
        <family val="1"/>
      </rPr>
      <t>i*</t>
    </r>
    <r>
      <rPr>
        <sz val="11"/>
        <rFont val="Times New Roman"/>
        <family val="1"/>
      </rPr>
      <t>σ)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r>
      <rPr>
        <sz val="11"/>
        <rFont val="Times New Roman"/>
        <family val="1"/>
      </rPr>
      <t>, Гкал/ч;</t>
    </r>
  </si>
  <si>
    <r>
      <t>Q</t>
    </r>
    <r>
      <rPr>
        <vertAlign val="subscript"/>
        <sz val="11"/>
        <rFont val="Times New Roman"/>
        <family val="1"/>
      </rPr>
      <t>из н год п</t>
    </r>
    <r>
      <rPr>
        <sz val="11"/>
        <rFont val="Times New Roman"/>
        <family val="1"/>
      </rPr>
      <t>=Σ(g</t>
    </r>
    <r>
      <rPr>
        <vertAlign val="subscript"/>
        <sz val="11"/>
        <rFont val="Times New Roman"/>
        <family val="1"/>
      </rPr>
      <t>из н п*</t>
    </r>
    <r>
      <rPr>
        <sz val="11"/>
        <rFont val="Times New Roman"/>
        <family val="1"/>
      </rPr>
      <t>li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σ)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r>
      <rPr>
        <sz val="11"/>
        <rFont val="Times New Roman"/>
        <family val="1"/>
      </rPr>
      <t>, Гкал/ч;</t>
    </r>
  </si>
  <si>
    <r>
      <t>Q</t>
    </r>
    <r>
      <rPr>
        <vertAlign val="subscript"/>
        <sz val="11"/>
        <rFont val="Times New Roman"/>
        <family val="1"/>
      </rPr>
      <t>из н год о</t>
    </r>
    <r>
      <rPr>
        <sz val="11"/>
        <rFont val="Times New Roman"/>
        <family val="1"/>
      </rPr>
      <t>=Σ(g</t>
    </r>
    <r>
      <rPr>
        <vertAlign val="subscript"/>
        <sz val="11"/>
        <rFont val="Times New Roman"/>
        <family val="1"/>
      </rPr>
      <t>из н о*</t>
    </r>
    <r>
      <rPr>
        <sz val="11"/>
        <rFont val="Times New Roman"/>
        <family val="1"/>
      </rPr>
      <t>l</t>
    </r>
    <r>
      <rPr>
        <vertAlign val="subscript"/>
        <sz val="11"/>
        <rFont val="Times New Roman"/>
        <family val="1"/>
      </rPr>
      <t>i*</t>
    </r>
    <r>
      <rPr>
        <sz val="11"/>
        <rFont val="Times New Roman"/>
        <family val="1"/>
      </rPr>
      <t>σ)</t>
    </r>
    <r>
      <rPr>
        <vertAlign val="subscript"/>
        <sz val="11"/>
        <rFont val="Times New Roman"/>
        <family val="1"/>
      </rPr>
      <t>*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r>
      <rPr>
        <sz val="11"/>
        <rFont val="Times New Roman"/>
        <family val="1"/>
      </rPr>
      <t>, Гкал/ч;</t>
    </r>
  </si>
  <si>
    <r>
      <t>g</t>
    </r>
    <r>
      <rPr>
        <vertAlign val="subscript"/>
        <sz val="11"/>
        <rFont val="Times New Roman"/>
        <family val="1"/>
      </rPr>
      <t>из н</t>
    </r>
    <r>
      <rPr>
        <sz val="11"/>
        <rFont val="Times New Roman"/>
        <family val="1"/>
      </rPr>
      <t>, g</t>
    </r>
    <r>
      <rPr>
        <vertAlign val="subscript"/>
        <sz val="11"/>
        <rFont val="Times New Roman"/>
        <family val="1"/>
      </rPr>
      <t>из н п</t>
    </r>
    <r>
      <rPr>
        <sz val="11"/>
        <rFont val="Times New Roman"/>
        <family val="1"/>
      </rPr>
      <t>, g</t>
    </r>
    <r>
      <rPr>
        <vertAlign val="subscript"/>
        <sz val="11"/>
        <rFont val="Times New Roman"/>
        <family val="1"/>
      </rPr>
      <t>из н о</t>
    </r>
    <r>
      <rPr>
        <sz val="11"/>
        <rFont val="Times New Roman"/>
        <family val="1"/>
      </rPr>
      <t xml:space="preserve">- удельные    часовые    тепловые     потери трубопроводов      каждого       диаметра, определенные пересчетом табличных значений норм </t>
    </r>
  </si>
  <si>
    <r>
      <t>d</t>
    </r>
    <r>
      <rPr>
        <b/>
        <vertAlign val="subscript"/>
        <sz val="11"/>
        <rFont val="Times New Roman"/>
        <family val="1"/>
      </rPr>
      <t>i</t>
    </r>
  </si>
  <si>
    <r>
      <t>l</t>
    </r>
    <r>
      <rPr>
        <b/>
        <vertAlign val="subscript"/>
        <sz val="11"/>
        <rFont val="Times New Roman"/>
        <family val="1"/>
      </rPr>
      <t>i</t>
    </r>
  </si>
  <si>
    <r>
      <t>g</t>
    </r>
    <r>
      <rPr>
        <b/>
        <vertAlign val="subscript"/>
        <sz val="11"/>
        <rFont val="Times New Roman"/>
        <family val="1"/>
      </rPr>
      <t>нп</t>
    </r>
  </si>
  <si>
    <r>
      <t>g</t>
    </r>
    <r>
      <rPr>
        <b/>
        <vertAlign val="subscript"/>
        <sz val="11"/>
        <rFont val="Times New Roman"/>
        <family val="1"/>
      </rPr>
      <t>но</t>
    </r>
  </si>
  <si>
    <r>
      <t>Q</t>
    </r>
    <r>
      <rPr>
        <b/>
        <vertAlign val="subscript"/>
        <sz val="11"/>
        <rFont val="Times New Roman"/>
        <family val="1"/>
      </rPr>
      <t>из н год</t>
    </r>
  </si>
  <si>
    <r>
      <t>Q</t>
    </r>
    <r>
      <rPr>
        <b/>
        <vertAlign val="subscript"/>
        <sz val="11"/>
        <rFont val="Times New Roman"/>
        <family val="1"/>
      </rPr>
      <t>из н год п</t>
    </r>
  </si>
  <si>
    <r>
      <t>Q</t>
    </r>
    <r>
      <rPr>
        <b/>
        <vertAlign val="subscript"/>
        <sz val="11"/>
        <rFont val="Times New Roman"/>
        <family val="1"/>
      </rPr>
      <t>из н год о</t>
    </r>
  </si>
  <si>
    <r>
      <t>Q</t>
    </r>
    <r>
      <rPr>
        <b/>
        <vertAlign val="subscript"/>
        <sz val="11"/>
        <rFont val="Times New Roman"/>
        <family val="1"/>
      </rPr>
      <t>из год</t>
    </r>
  </si>
  <si>
    <r>
      <t>Q</t>
    </r>
    <r>
      <rPr>
        <b/>
        <vertAlign val="subscript"/>
        <sz val="11"/>
        <rFont val="Times New Roman"/>
        <family val="1"/>
      </rPr>
      <t>гвс год</t>
    </r>
  </si>
  <si>
    <r>
      <t>Q</t>
    </r>
    <r>
      <rPr>
        <b/>
        <vertAlign val="subscript"/>
        <sz val="11"/>
        <rFont val="Times New Roman"/>
        <family val="1"/>
      </rPr>
      <t>ут н год</t>
    </r>
  </si>
  <si>
    <r>
      <t>Q</t>
    </r>
    <r>
      <rPr>
        <b/>
        <vertAlign val="subscript"/>
        <sz val="11"/>
        <rFont val="Times New Roman"/>
        <family val="1"/>
      </rPr>
      <t xml:space="preserve"> год</t>
    </r>
  </si>
  <si>
    <r>
      <t>ΣQ</t>
    </r>
    <r>
      <rPr>
        <b/>
        <vertAlign val="subscript"/>
        <sz val="11"/>
        <rFont val="Times New Roman"/>
        <family val="1"/>
      </rPr>
      <t>ут</t>
    </r>
    <r>
      <rPr>
        <b/>
        <sz val="11"/>
        <rFont val="Times New Roman"/>
        <family val="1"/>
      </rPr>
      <t>,Q</t>
    </r>
    <r>
      <rPr>
        <b/>
        <vertAlign val="subscript"/>
        <sz val="11"/>
        <rFont val="Times New Roman"/>
        <family val="1"/>
      </rPr>
      <t>из</t>
    </r>
  </si>
  <si>
    <r>
      <t>Q</t>
    </r>
    <r>
      <rPr>
        <b/>
        <vertAlign val="subscript"/>
        <sz val="11"/>
        <rFont val="Times New Roman"/>
        <family val="1"/>
      </rPr>
      <t>гвс.р.з</t>
    </r>
  </si>
  <si>
    <r>
      <t>Q</t>
    </r>
    <r>
      <rPr>
        <b/>
        <vertAlign val="subscript"/>
        <sz val="11"/>
        <rFont val="Times New Roman"/>
        <family val="1"/>
      </rPr>
      <t>гвс.р.л</t>
    </r>
  </si>
  <si>
    <r>
      <t>Q</t>
    </r>
    <r>
      <rPr>
        <b/>
        <vertAlign val="subscript"/>
        <sz val="11"/>
        <rFont val="Times New Roman"/>
        <family val="1"/>
      </rPr>
      <t xml:space="preserve">из+ут </t>
    </r>
  </si>
  <si>
    <r>
      <t>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/год</t>
    </r>
  </si>
  <si>
    <r>
      <t xml:space="preserve">Рекомендации по организации учета тепловой энерегии и теплоносителей на </t>
    </r>
    <r>
      <rPr>
        <sz val="11"/>
        <color indexed="10"/>
        <rFont val="Times New Roman"/>
        <family val="1"/>
      </rPr>
      <t>предприятиях</t>
    </r>
    <r>
      <rPr>
        <sz val="11"/>
        <rFont val="Times New Roman"/>
        <family val="1"/>
      </rPr>
      <t xml:space="preserve">,  в учереждениях и организациях ЖКХ и бюджетной сфере.утв. приказом </t>
    </r>
  </si>
  <si>
    <t xml:space="preserve">март </t>
  </si>
  <si>
    <t>2012 год</t>
  </si>
  <si>
    <t>2013 год</t>
  </si>
  <si>
    <t>Наименование уаслуги</t>
  </si>
  <si>
    <t>Протокол-соглашение о договорных величинах потребления тепловой энергии и теплоносителя на 2012 - 2013 г.г.</t>
  </si>
  <si>
    <t>______________________________(Илларионова Н.А.)</t>
  </si>
  <si>
    <r>
      <t xml:space="preserve">Поставщик: </t>
    </r>
    <r>
      <rPr>
        <b/>
        <sz val="10"/>
        <rFont val="Times New Roman"/>
        <family val="1"/>
      </rPr>
      <t xml:space="preserve">МУП «Комэнергоресурс». </t>
    </r>
    <r>
      <rPr>
        <sz val="10"/>
        <rFont val="Times New Roman"/>
        <family val="1"/>
      </rPr>
      <t xml:space="preserve">
Абонент (государственный/муниципальный заказчик): Индивидуальный предприниматель Илларионова Нина Анатольевна
Адрес места расположения объекта: г. Североуральск, ул. Клубная, д.2"Б"</t>
    </r>
  </si>
  <si>
    <r>
      <t>Потребление тепловой энергии для подпитки котельной (без субабонентов), м</t>
    </r>
    <r>
      <rPr>
        <sz val="10"/>
        <rFont val="Arial Cyr"/>
        <family val="0"/>
      </rPr>
      <t>³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</si>
</sst>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0"/>
    <numFmt numFmtId="169" formatCode="0.000000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0.00000000"/>
    <numFmt numFmtId="176" formatCode="0.000000000"/>
    <numFmt numFmtId="177" formatCode="0.0000000000"/>
    <numFmt numFmtId="178" formatCode="[$-FC19]d\ mmmm\ yyyy\ &quot;г.&quot;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0.000000000000"/>
    <numFmt numFmtId="184" formatCode="_-* #,##0.0000000000_р_._-;\-* #,##0.0000000000_р_._-;_-* &quot;-&quot;??_р_._-;_-@_-"/>
    <numFmt numFmtId="185" formatCode="_-* #,##0.00000000000_р_._-;\-* #,##0.00000000000_р_._-;_-* &quot;-&quot;??_р_._-;_-@_-"/>
    <numFmt numFmtId="186" formatCode="_-* #,##0.000000000000_р_._-;\-* #,##0.000000000000_р_._-;_-* &quot;-&quot;??_р_._-;_-@_-"/>
    <numFmt numFmtId="187" formatCode="_-* #,##0.0000000000000_р_._-;\-* #,##0.0000000000000_р_._-;_-* &quot;-&quot;??_р_._-;_-@_-"/>
    <numFmt numFmtId="188" formatCode="_-* #,##0.00000000000000_р_._-;\-* #,##0.00000000000000_р_._-;_-* &quot;-&quot;??_р_._-;_-@_-"/>
    <numFmt numFmtId="189" formatCode="_-* #,##0.000000000000000_р_._-;\-* #,##0.000000000000000_р_._-;_-* &quot;-&quot;??_р_._-;_-@_-"/>
    <numFmt numFmtId="190" formatCode="_-* #,##0.0000000000000000_р_._-;\-* #,##0.0000000000000000_р_._-;_-* &quot;-&quot;??_р_._-;_-@_-"/>
    <numFmt numFmtId="191" formatCode="_-* #,##0.00000000000000000_р_._-;\-* #,##0.00000000000000000_р_._-;_-* &quot;-&quot;??_р_._-;_-@_-"/>
    <numFmt numFmtId="192" formatCode="0.0000000000000"/>
    <numFmt numFmtId="193" formatCode="0.00000000000000"/>
    <numFmt numFmtId="194" formatCode="0.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#,##0.00&quot;р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vertAlign val="subscript"/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165" fontId="10" fillId="0" borderId="5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/>
    </xf>
    <xf numFmtId="165" fontId="10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5" fontId="10" fillId="0" borderId="6" xfId="0" applyNumberFormat="1" applyFont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2" fontId="11" fillId="0" borderId="7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2" fontId="10" fillId="0" borderId="15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6" xfId="0" applyFont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2" fontId="10" fillId="0" borderId="28" xfId="0" applyNumberFormat="1" applyFont="1" applyBorder="1" applyAlignment="1">
      <alignment/>
    </xf>
    <xf numFmtId="2" fontId="10" fillId="0" borderId="29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16" fontId="9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9" fontId="14" fillId="0" borderId="3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9" fontId="14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167" fontId="9" fillId="0" borderId="30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14" fillId="0" borderId="35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9" fontId="9" fillId="0" borderId="24" xfId="0" applyNumberFormat="1" applyFont="1" applyFill="1" applyBorder="1" applyAlignment="1">
      <alignment horizontal="center" vertical="center"/>
    </xf>
    <xf numFmtId="169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 vertical="center"/>
    </xf>
    <xf numFmtId="169" fontId="14" fillId="2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201" fontId="9" fillId="0" borderId="0" xfId="0" applyNumberFormat="1" applyFont="1" applyAlignment="1">
      <alignment horizontal="center" vertical="center"/>
    </xf>
    <xf numFmtId="175" fontId="9" fillId="0" borderId="0" xfId="0" applyNumberFormat="1" applyFont="1" applyAlignment="1">
      <alignment horizontal="center" vertical="center"/>
    </xf>
    <xf numFmtId="0" fontId="9" fillId="0" borderId="4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40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1" fontId="18" fillId="0" borderId="45" xfId="0" applyNumberFormat="1" applyFont="1" applyBorder="1" applyAlignment="1">
      <alignment horizontal="center" vertical="center"/>
    </xf>
    <xf numFmtId="166" fontId="18" fillId="0" borderId="46" xfId="0" applyNumberFormat="1" applyFont="1" applyBorder="1" applyAlignment="1">
      <alignment horizontal="center" vertical="center"/>
    </xf>
    <xf numFmtId="2" fontId="18" fillId="0" borderId="46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justify"/>
    </xf>
    <xf numFmtId="164" fontId="9" fillId="0" borderId="46" xfId="0" applyNumberFormat="1" applyFont="1" applyBorder="1" applyAlignment="1">
      <alignment horizontal="right" vertical="justify"/>
    </xf>
    <xf numFmtId="169" fontId="9" fillId="0" borderId="46" xfId="0" applyNumberFormat="1" applyFont="1" applyBorder="1" applyAlignment="1">
      <alignment horizontal="right" vertical="justify"/>
    </xf>
    <xf numFmtId="165" fontId="9" fillId="0" borderId="46" xfId="0" applyNumberFormat="1" applyFont="1" applyBorder="1" applyAlignment="1">
      <alignment horizontal="right" vertical="justify"/>
    </xf>
    <xf numFmtId="165" fontId="9" fillId="0" borderId="46" xfId="0" applyNumberFormat="1" applyFont="1" applyBorder="1" applyAlignment="1">
      <alignment/>
    </xf>
    <xf numFmtId="169" fontId="9" fillId="0" borderId="47" xfId="0" applyNumberFormat="1" applyFont="1" applyBorder="1" applyAlignment="1">
      <alignment/>
    </xf>
    <xf numFmtId="0" fontId="9" fillId="0" borderId="48" xfId="0" applyFont="1" applyBorder="1" applyAlignment="1">
      <alignment horizontal="left" vertical="center"/>
    </xf>
    <xf numFmtId="1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justify"/>
    </xf>
    <xf numFmtId="164" fontId="9" fillId="0" borderId="17" xfId="0" applyNumberFormat="1" applyFont="1" applyBorder="1" applyAlignment="1">
      <alignment horizontal="right" vertical="justify"/>
    </xf>
    <xf numFmtId="169" fontId="9" fillId="0" borderId="17" xfId="0" applyNumberFormat="1" applyFont="1" applyBorder="1" applyAlignment="1">
      <alignment horizontal="right" vertical="justify"/>
    </xf>
    <xf numFmtId="165" fontId="9" fillId="0" borderId="17" xfId="0" applyNumberFormat="1" applyFont="1" applyBorder="1" applyAlignment="1">
      <alignment horizontal="right" vertical="justify"/>
    </xf>
    <xf numFmtId="165" fontId="9" fillId="0" borderId="17" xfId="0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justify"/>
    </xf>
    <xf numFmtId="164" fontId="9" fillId="0" borderId="0" xfId="0" applyNumberFormat="1" applyFont="1" applyBorder="1" applyAlignment="1">
      <alignment horizontal="right" vertical="justify"/>
    </xf>
    <xf numFmtId="169" fontId="9" fillId="0" borderId="0" xfId="0" applyNumberFormat="1" applyFont="1" applyBorder="1" applyAlignment="1">
      <alignment horizontal="right" vertical="justify"/>
    </xf>
    <xf numFmtId="165" fontId="9" fillId="0" borderId="0" xfId="0" applyNumberFormat="1" applyFont="1" applyBorder="1" applyAlignment="1">
      <alignment horizontal="right" vertical="justify"/>
    </xf>
    <xf numFmtId="2" fontId="9" fillId="0" borderId="0" xfId="0" applyNumberFormat="1" applyFont="1" applyAlignment="1">
      <alignment/>
    </xf>
    <xf numFmtId="0" fontId="14" fillId="0" borderId="34" xfId="0" applyFont="1" applyBorder="1" applyAlignment="1">
      <alignment horizontal="center" vertical="center"/>
    </xf>
    <xf numFmtId="1" fontId="18" fillId="0" borderId="46" xfId="0" applyNumberFormat="1" applyFont="1" applyBorder="1" applyAlignment="1">
      <alignment horizontal="center" vertical="center"/>
    </xf>
    <xf numFmtId="169" fontId="9" fillId="0" borderId="46" xfId="0" applyNumberFormat="1" applyFont="1" applyBorder="1" applyAlignment="1">
      <alignment/>
    </xf>
    <xf numFmtId="169" fontId="9" fillId="0" borderId="46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69" fontId="9" fillId="0" borderId="17" xfId="0" applyNumberFormat="1" applyFont="1" applyBorder="1" applyAlignment="1">
      <alignment/>
    </xf>
    <xf numFmtId="169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" borderId="0" xfId="0" applyFont="1" applyFill="1" applyAlignment="1">
      <alignment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169" fontId="14" fillId="2" borderId="24" xfId="0" applyNumberFormat="1" applyFont="1" applyFill="1" applyBorder="1" applyAlignment="1">
      <alignment horizontal="center"/>
    </xf>
    <xf numFmtId="169" fontId="14" fillId="0" borderId="24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9" fontId="14" fillId="2" borderId="0" xfId="0" applyNumberFormat="1" applyFont="1" applyFill="1" applyBorder="1" applyAlignment="1">
      <alignment horizontal="center"/>
    </xf>
    <xf numFmtId="169" fontId="14" fillId="0" borderId="0" xfId="0" applyNumberFormat="1" applyFont="1" applyBorder="1" applyAlignment="1">
      <alignment horizontal="center" vertical="center"/>
    </xf>
    <xf numFmtId="169" fontId="14" fillId="0" borderId="0" xfId="0" applyNumberFormat="1" applyFont="1" applyBorder="1" applyAlignment="1">
      <alignment horizontal="right" vertical="center"/>
    </xf>
    <xf numFmtId="2" fontId="14" fillId="3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2" fontId="9" fillId="0" borderId="41" xfId="0" applyNumberFormat="1" applyFont="1" applyBorder="1" applyAlignment="1">
      <alignment/>
    </xf>
    <xf numFmtId="9" fontId="9" fillId="0" borderId="36" xfId="0" applyNumberFormat="1" applyFont="1" applyBorder="1" applyAlignment="1">
      <alignment/>
    </xf>
    <xf numFmtId="9" fontId="9" fillId="0" borderId="8" xfId="0" applyNumberFormat="1" applyFont="1" applyBorder="1" applyAlignment="1">
      <alignment/>
    </xf>
    <xf numFmtId="0" fontId="9" fillId="0" borderId="42" xfId="0" applyFont="1" applyBorder="1" applyAlignment="1">
      <alignment/>
    </xf>
    <xf numFmtId="2" fontId="9" fillId="0" borderId="3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2" borderId="24" xfId="0" applyNumberFormat="1" applyFont="1" applyFill="1" applyBorder="1" applyAlignment="1">
      <alignment/>
    </xf>
    <xf numFmtId="2" fontId="9" fillId="2" borderId="25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14" fillId="2" borderId="0" xfId="0" applyNumberFormat="1" applyFont="1" applyFill="1" applyBorder="1" applyAlignment="1">
      <alignment/>
    </xf>
    <xf numFmtId="2" fontId="14" fillId="0" borderId="0" xfId="0" applyNumberFormat="1" applyFont="1" applyAlignment="1">
      <alignment/>
    </xf>
    <xf numFmtId="2" fontId="9" fillId="0" borderId="1" xfId="0" applyNumberFormat="1" applyFont="1" applyBorder="1" applyAlignment="1">
      <alignment/>
    </xf>
    <xf numFmtId="0" fontId="9" fillId="0" borderId="6" xfId="0" applyFont="1" applyBorder="1" applyAlignment="1">
      <alignment horizontal="left" vertical="center"/>
    </xf>
    <xf numFmtId="9" fontId="9" fillId="0" borderId="43" xfId="0" applyNumberFormat="1" applyFont="1" applyBorder="1" applyAlignment="1">
      <alignment/>
    </xf>
    <xf numFmtId="0" fontId="9" fillId="0" borderId="33" xfId="0" applyFont="1" applyBorder="1" applyAlignment="1">
      <alignment/>
    </xf>
    <xf numFmtId="2" fontId="9" fillId="0" borderId="23" xfId="0" applyNumberFormat="1" applyFont="1" applyBorder="1" applyAlignment="1">
      <alignment/>
    </xf>
    <xf numFmtId="0" fontId="9" fillId="4" borderId="0" xfId="0" applyFont="1" applyFill="1" applyAlignment="1">
      <alignment/>
    </xf>
    <xf numFmtId="2" fontId="9" fillId="0" borderId="30" xfId="0" applyNumberFormat="1" applyFont="1" applyBorder="1" applyAlignment="1">
      <alignment horizontal="right" vertical="justify"/>
    </xf>
    <xf numFmtId="2" fontId="9" fillId="0" borderId="24" xfId="0" applyNumberFormat="1" applyFont="1" applyBorder="1" applyAlignment="1">
      <alignment horizontal="right" vertical="justify"/>
    </xf>
    <xf numFmtId="2" fontId="9" fillId="2" borderId="35" xfId="0" applyNumberFormat="1" applyFont="1" applyFill="1" applyBorder="1" applyAlignment="1">
      <alignment/>
    </xf>
    <xf numFmtId="2" fontId="9" fillId="3" borderId="0" xfId="0" applyNumberFormat="1" applyFont="1" applyFill="1" applyAlignment="1">
      <alignment/>
    </xf>
    <xf numFmtId="0" fontId="14" fillId="0" borderId="34" xfId="0" applyFont="1" applyFill="1" applyBorder="1" applyAlignment="1">
      <alignment horizontal="left" vertical="center"/>
    </xf>
    <xf numFmtId="2" fontId="14" fillId="0" borderId="30" xfId="0" applyNumberFormat="1" applyFont="1" applyBorder="1" applyAlignment="1">
      <alignment/>
    </xf>
    <xf numFmtId="2" fontId="14" fillId="0" borderId="24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2" fontId="14" fillId="0" borderId="0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9" fillId="3" borderId="0" xfId="0" applyNumberFormat="1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0" fillId="0" borderId="43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1" fillId="2" borderId="1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IS237"/>
  <sheetViews>
    <sheetView view="pageBreakPreview" zoomScale="75" zoomScaleNormal="75" zoomScaleSheetLayoutView="75" workbookViewId="0" topLeftCell="A1">
      <selection activeCell="D49" sqref="D49"/>
    </sheetView>
  </sheetViews>
  <sheetFormatPr defaultColWidth="9.00390625" defaultRowHeight="12.75"/>
  <cols>
    <col min="1" max="1" width="5.00390625" style="41" customWidth="1"/>
    <col min="2" max="2" width="31.125" style="41" customWidth="1"/>
    <col min="3" max="3" width="9.00390625" style="41" customWidth="1"/>
    <col min="4" max="4" width="8.75390625" style="41" customWidth="1"/>
    <col min="5" max="5" width="10.75390625" style="41" customWidth="1"/>
    <col min="6" max="6" width="9.375" style="41" customWidth="1"/>
    <col min="7" max="7" width="9.75390625" style="41" customWidth="1"/>
    <col min="8" max="8" width="10.625" style="41" customWidth="1"/>
    <col min="9" max="9" width="10.00390625" style="41" customWidth="1"/>
    <col min="10" max="10" width="9.625" style="41" customWidth="1"/>
    <col min="11" max="11" width="10.875" style="41" customWidth="1"/>
    <col min="12" max="12" width="9.875" style="41" customWidth="1"/>
    <col min="13" max="13" width="10.875" style="41" customWidth="1"/>
    <col min="14" max="14" width="10.625" style="41" customWidth="1"/>
    <col min="15" max="15" width="11.00390625" style="41" customWidth="1"/>
    <col min="16" max="16" width="10.875" style="41" customWidth="1"/>
    <col min="17" max="17" width="9.25390625" style="41" customWidth="1"/>
    <col min="18" max="18" width="8.375" style="41" customWidth="1"/>
    <col min="19" max="19" width="10.75390625" style="41" customWidth="1"/>
    <col min="20" max="20" width="11.625" style="41" customWidth="1"/>
    <col min="21" max="16384" width="9.125" style="41" customWidth="1"/>
  </cols>
  <sheetData>
    <row r="1" spans="7:18" ht="15">
      <c r="G1" s="81"/>
      <c r="H1" s="81"/>
      <c r="I1" s="81"/>
      <c r="J1" s="279" t="s">
        <v>162</v>
      </c>
      <c r="K1" s="279"/>
      <c r="L1" s="279"/>
      <c r="M1" s="279"/>
      <c r="N1" s="279"/>
      <c r="O1" s="279"/>
      <c r="P1" s="279"/>
      <c r="Q1" s="279"/>
      <c r="R1" s="279"/>
    </row>
    <row r="2" spans="1:18" ht="15">
      <c r="A2" s="82" t="s">
        <v>180</v>
      </c>
      <c r="J2" s="279" t="s">
        <v>163</v>
      </c>
      <c r="K2" s="279"/>
      <c r="L2" s="279"/>
      <c r="M2" s="279"/>
      <c r="N2" s="279"/>
      <c r="O2" s="279"/>
      <c r="P2" s="279"/>
      <c r="Q2" s="279"/>
      <c r="R2" s="279"/>
    </row>
    <row r="3" spans="1:18" ht="15">
      <c r="A3" s="82"/>
      <c r="J3" s="279" t="s">
        <v>164</v>
      </c>
      <c r="K3" s="279"/>
      <c r="L3" s="279"/>
      <c r="M3" s="279"/>
      <c r="N3" s="279"/>
      <c r="O3" s="279"/>
      <c r="P3" s="279"/>
      <c r="Q3" s="279"/>
      <c r="R3" s="279"/>
    </row>
    <row r="4" spans="1:18" ht="15">
      <c r="A4" s="82"/>
      <c r="J4" s="68"/>
      <c r="K4" s="68"/>
      <c r="L4" s="68"/>
      <c r="M4" s="68"/>
      <c r="N4" s="68"/>
      <c r="O4" s="68"/>
      <c r="P4" s="68"/>
      <c r="Q4" s="68"/>
      <c r="R4" s="68"/>
    </row>
    <row r="5" spans="3:6" s="82" customFormat="1" ht="15">
      <c r="C5" s="83"/>
      <c r="F5" s="82" t="s">
        <v>177</v>
      </c>
    </row>
    <row r="6" s="82" customFormat="1" ht="15">
      <c r="C6" s="83"/>
    </row>
    <row r="7" spans="1:15" s="82" customFormat="1" ht="14.25">
      <c r="A7" s="280" t="s">
        <v>166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</row>
    <row r="8" spans="1:15" s="82" customFormat="1" ht="31.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</row>
    <row r="9" s="82" customFormat="1" ht="15">
      <c r="C9" s="83"/>
    </row>
    <row r="10" spans="1:2" ht="15">
      <c r="A10" s="84" t="s">
        <v>0</v>
      </c>
      <c r="B10" s="82" t="s">
        <v>154</v>
      </c>
    </row>
    <row r="11" spans="1:2" ht="15">
      <c r="A11" s="85" t="s">
        <v>1</v>
      </c>
      <c r="B11" s="41" t="s">
        <v>2</v>
      </c>
    </row>
    <row r="12" spans="1:2" ht="18">
      <c r="A12" s="68"/>
      <c r="B12" s="41" t="s">
        <v>181</v>
      </c>
    </row>
    <row r="13" spans="1:2" ht="15">
      <c r="A13" s="41" t="s">
        <v>3</v>
      </c>
      <c r="B13" s="41" t="s">
        <v>4</v>
      </c>
    </row>
    <row r="14" spans="1:2" ht="18">
      <c r="A14" s="68"/>
      <c r="B14" s="41" t="s">
        <v>182</v>
      </c>
    </row>
    <row r="15" spans="1:2" ht="18">
      <c r="A15" s="68"/>
      <c r="B15" s="41" t="s">
        <v>183</v>
      </c>
    </row>
    <row r="16" spans="1:2" ht="18">
      <c r="A16" s="68"/>
      <c r="B16" s="41" t="s">
        <v>184</v>
      </c>
    </row>
    <row r="17" spans="1:2" ht="18">
      <c r="A17" s="68"/>
      <c r="B17" s="41" t="s">
        <v>185</v>
      </c>
    </row>
    <row r="18" spans="1:2" ht="16.5">
      <c r="A18" s="68"/>
      <c r="B18" s="41" t="s">
        <v>186</v>
      </c>
    </row>
    <row r="19" spans="1:2" ht="15">
      <c r="A19" s="68" t="s">
        <v>5</v>
      </c>
      <c r="B19" s="41" t="s">
        <v>6</v>
      </c>
    </row>
    <row r="20" spans="1:2" ht="18">
      <c r="A20" s="68"/>
      <c r="B20" s="41" t="s">
        <v>178</v>
      </c>
    </row>
    <row r="21" spans="1:2" ht="18">
      <c r="A21" s="41" t="s">
        <v>3</v>
      </c>
      <c r="B21" s="41" t="s">
        <v>187</v>
      </c>
    </row>
    <row r="22" spans="1:8" ht="15">
      <c r="A22" s="68"/>
      <c r="B22" s="41" t="s">
        <v>7</v>
      </c>
      <c r="H22" s="41" t="s">
        <v>8</v>
      </c>
    </row>
    <row r="23" spans="1:2" ht="16.5">
      <c r="A23" s="68"/>
      <c r="B23" s="41" t="s">
        <v>188</v>
      </c>
    </row>
    <row r="24" spans="1:2" ht="15">
      <c r="A24" s="68" t="s">
        <v>9</v>
      </c>
      <c r="B24" s="41" t="s">
        <v>10</v>
      </c>
    </row>
    <row r="25" spans="1:2" ht="18">
      <c r="A25" s="68"/>
      <c r="B25" s="41" t="s">
        <v>189</v>
      </c>
    </row>
    <row r="26" spans="1:2" ht="18">
      <c r="A26" s="41" t="s">
        <v>3</v>
      </c>
      <c r="B26" s="41" t="s">
        <v>190</v>
      </c>
    </row>
    <row r="27" spans="1:2" ht="16.5">
      <c r="A27" s="68"/>
      <c r="B27" s="41" t="s">
        <v>191</v>
      </c>
    </row>
    <row r="28" spans="1:8" ht="15">
      <c r="A28" s="68"/>
      <c r="B28" s="41" t="s">
        <v>11</v>
      </c>
      <c r="H28" s="86"/>
    </row>
    <row r="29" spans="1:8" ht="15">
      <c r="A29" s="68" t="s">
        <v>12</v>
      </c>
      <c r="B29" s="41" t="s">
        <v>13</v>
      </c>
      <c r="H29" s="86"/>
    </row>
    <row r="30" spans="1:8" ht="16.5">
      <c r="A30" s="68"/>
      <c r="B30" s="41" t="s">
        <v>192</v>
      </c>
      <c r="H30" s="86"/>
    </row>
    <row r="31" spans="1:8" ht="16.5">
      <c r="A31" s="68" t="s">
        <v>3</v>
      </c>
      <c r="B31" s="41" t="s">
        <v>193</v>
      </c>
      <c r="H31" s="86"/>
    </row>
    <row r="32" spans="1:8" ht="16.5">
      <c r="A32" s="68"/>
      <c r="B32" s="41" t="s">
        <v>194</v>
      </c>
      <c r="H32" s="86"/>
    </row>
    <row r="33" spans="1:8" ht="17.25" thickBot="1">
      <c r="A33" s="68"/>
      <c r="B33" s="41" t="s">
        <v>195</v>
      </c>
      <c r="H33" s="86"/>
    </row>
    <row r="34" spans="1:18" ht="17.25" thickBot="1">
      <c r="A34" s="87"/>
      <c r="B34" s="88" t="s">
        <v>14</v>
      </c>
      <c r="C34" s="89" t="s">
        <v>196</v>
      </c>
      <c r="D34" s="90" t="s">
        <v>197</v>
      </c>
      <c r="E34" s="90" t="s">
        <v>198</v>
      </c>
      <c r="F34" s="90" t="s">
        <v>199</v>
      </c>
      <c r="G34" s="90" t="s">
        <v>15</v>
      </c>
      <c r="H34" s="91" t="s">
        <v>16</v>
      </c>
      <c r="I34" s="90" t="s">
        <v>200</v>
      </c>
      <c r="J34" s="90" t="s">
        <v>201</v>
      </c>
      <c r="K34" s="90" t="s">
        <v>17</v>
      </c>
      <c r="L34" s="90" t="s">
        <v>18</v>
      </c>
      <c r="M34" s="90" t="s">
        <v>202</v>
      </c>
      <c r="N34" s="90" t="s">
        <v>203</v>
      </c>
      <c r="O34" s="91" t="s">
        <v>204</v>
      </c>
      <c r="P34" s="92" t="s">
        <v>205</v>
      </c>
      <c r="Q34" s="92" t="s">
        <v>206</v>
      </c>
      <c r="R34" s="93" t="s">
        <v>207</v>
      </c>
    </row>
    <row r="35" spans="1:18" ht="18.75" thickBot="1">
      <c r="A35" s="87"/>
      <c r="B35" s="94"/>
      <c r="C35" s="95" t="s">
        <v>19</v>
      </c>
      <c r="D35" s="96" t="s">
        <v>208</v>
      </c>
      <c r="E35" s="96" t="s">
        <v>208</v>
      </c>
      <c r="F35" s="96" t="s">
        <v>208</v>
      </c>
      <c r="G35" s="96"/>
      <c r="H35" s="97" t="s">
        <v>209</v>
      </c>
      <c r="I35" s="96" t="s">
        <v>210</v>
      </c>
      <c r="J35" s="96"/>
      <c r="K35" s="96" t="s">
        <v>211</v>
      </c>
      <c r="L35" s="96" t="s">
        <v>20</v>
      </c>
      <c r="M35" s="96" t="s">
        <v>21</v>
      </c>
      <c r="N35" s="96" t="s">
        <v>22</v>
      </c>
      <c r="O35" s="98" t="s">
        <v>23</v>
      </c>
      <c r="P35" s="99" t="s">
        <v>212</v>
      </c>
      <c r="Q35" s="99" t="s">
        <v>212</v>
      </c>
      <c r="R35" s="100" t="s">
        <v>24</v>
      </c>
    </row>
    <row r="36" spans="1:18" ht="15.75" thickBot="1">
      <c r="A36" s="101"/>
      <c r="B36" s="102" t="s">
        <v>130</v>
      </c>
      <c r="C36" s="103"/>
      <c r="D36" s="104">
        <v>15</v>
      </c>
      <c r="E36" s="92">
        <v>-7.4</v>
      </c>
      <c r="F36" s="92">
        <v>-39</v>
      </c>
      <c r="G36" s="92">
        <v>0.91</v>
      </c>
      <c r="H36" s="105"/>
      <c r="I36" s="106"/>
      <c r="J36" s="107">
        <f>(SQRT(2*K36*L36*(1-(273+F36)/(273+D36))+POWER(M36,2)))/100</f>
        <v>0.052000000000000005</v>
      </c>
      <c r="K36" s="92">
        <v>9.81</v>
      </c>
      <c r="L36" s="106"/>
      <c r="M36" s="92">
        <v>5.2</v>
      </c>
      <c r="N36" s="92">
        <v>5880</v>
      </c>
      <c r="O36" s="108">
        <f>C36*(D36-E36)/(D36-F36)*N36</f>
        <v>0</v>
      </c>
      <c r="P36" s="92">
        <v>80</v>
      </c>
      <c r="Q36" s="92">
        <v>57</v>
      </c>
      <c r="R36" s="109">
        <f>C36*1000/(P36-Q36)</f>
        <v>0</v>
      </c>
    </row>
    <row r="37" spans="1:18" ht="15">
      <c r="A37" s="68"/>
      <c r="C37" s="110">
        <f>SUM(C36:C36)</f>
        <v>0</v>
      </c>
      <c r="D37" s="111"/>
      <c r="E37" s="111"/>
      <c r="F37" s="111"/>
      <c r="G37" s="111"/>
      <c r="H37" s="112"/>
      <c r="I37" s="111"/>
      <c r="J37" s="111"/>
      <c r="K37" s="111"/>
      <c r="L37" s="111"/>
      <c r="M37" s="111"/>
      <c r="N37" s="111"/>
      <c r="O37" s="113">
        <f>SUM(O36:O36)</f>
        <v>0</v>
      </c>
      <c r="P37" s="111"/>
      <c r="Q37" s="111"/>
      <c r="R37" s="114">
        <f>SUM(R36:R36)</f>
        <v>0</v>
      </c>
    </row>
    <row r="38" spans="1:17" ht="15">
      <c r="A38" s="68"/>
      <c r="D38" s="111"/>
      <c r="E38" s="111"/>
      <c r="F38" s="111"/>
      <c r="G38" s="111"/>
      <c r="H38" s="112"/>
      <c r="I38" s="111"/>
      <c r="J38" s="111"/>
      <c r="K38" s="111"/>
      <c r="L38" s="111"/>
      <c r="M38" s="111"/>
      <c r="N38" s="111"/>
      <c r="O38" s="113"/>
      <c r="P38" s="111"/>
      <c r="Q38" s="111"/>
    </row>
    <row r="39" spans="1:17" ht="15">
      <c r="A39" s="84" t="s">
        <v>25</v>
      </c>
      <c r="B39" s="82" t="s">
        <v>155</v>
      </c>
      <c r="C39" s="111"/>
      <c r="D39" s="111"/>
      <c r="E39" s="111"/>
      <c r="F39" s="111"/>
      <c r="G39" s="111"/>
      <c r="H39" s="112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ht="15">
      <c r="A40" s="68" t="s">
        <v>26</v>
      </c>
      <c r="B40" s="41" t="s">
        <v>27</v>
      </c>
      <c r="C40" s="111"/>
      <c r="D40" s="111"/>
      <c r="E40" s="111"/>
      <c r="F40" s="111"/>
      <c r="G40" s="111"/>
      <c r="H40" s="112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16.5">
      <c r="A41" s="68"/>
      <c r="B41" s="41" t="s">
        <v>213</v>
      </c>
      <c r="C41" s="111"/>
      <c r="D41" s="111"/>
      <c r="E41" s="111"/>
      <c r="F41" s="111"/>
      <c r="G41" s="111"/>
      <c r="H41" s="112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15">
      <c r="A42" s="68" t="s">
        <v>28</v>
      </c>
      <c r="B42" s="41" t="s">
        <v>29</v>
      </c>
      <c r="C42" s="111"/>
      <c r="D42" s="111"/>
      <c r="E42" s="111"/>
      <c r="F42" s="111"/>
      <c r="G42" s="111"/>
      <c r="H42" s="112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8">
      <c r="A43" s="68"/>
      <c r="B43" s="41" t="s">
        <v>214</v>
      </c>
      <c r="C43" s="111"/>
      <c r="D43" s="111"/>
      <c r="E43" s="111"/>
      <c r="F43" s="111"/>
      <c r="G43" s="111"/>
      <c r="H43" s="112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5">
      <c r="A44" s="41" t="s">
        <v>3</v>
      </c>
      <c r="B44" s="41" t="s">
        <v>215</v>
      </c>
      <c r="C44" s="111"/>
      <c r="D44" s="111"/>
      <c r="E44" s="111"/>
      <c r="F44" s="111"/>
      <c r="G44" s="111"/>
      <c r="H44" s="112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5">
      <c r="A45" s="68"/>
      <c r="B45" s="41" t="s">
        <v>30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18">
      <c r="A46" s="68"/>
      <c r="B46" s="41" t="s">
        <v>216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18">
      <c r="A47" s="68"/>
      <c r="B47" s="41" t="s">
        <v>217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ht="18">
      <c r="A48" s="68"/>
      <c r="B48" s="41" t="s">
        <v>218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ht="15">
      <c r="A49" s="85" t="s">
        <v>31</v>
      </c>
      <c r="B49" s="41" t="s">
        <v>219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ht="16.5">
      <c r="A50" s="68"/>
      <c r="B50" s="41" t="s">
        <v>220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ht="18">
      <c r="A51" s="41" t="s">
        <v>3</v>
      </c>
      <c r="B51" s="115" t="s">
        <v>221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15">
      <c r="A52" s="68"/>
      <c r="B52" s="41" t="s">
        <v>222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15">
      <c r="A53" s="68" t="s">
        <v>32</v>
      </c>
      <c r="B53" s="41" t="s">
        <v>33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ht="16.5">
      <c r="A54" s="68"/>
      <c r="B54" s="41" t="s">
        <v>223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5">
      <c r="A55" s="68"/>
      <c r="B55" s="41" t="s">
        <v>34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ht="16.5">
      <c r="A56" s="68"/>
      <c r="B56" s="41" t="s">
        <v>224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ht="15">
      <c r="A57" s="68" t="s">
        <v>35</v>
      </c>
      <c r="B57" s="41" t="s">
        <v>225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ht="18">
      <c r="A58" s="68"/>
      <c r="B58" s="41" t="s">
        <v>226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ht="16.5">
      <c r="A59" s="41" t="s">
        <v>3</v>
      </c>
      <c r="B59" s="41" t="s">
        <v>227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ht="16.5">
      <c r="A60" s="68"/>
      <c r="B60" s="41" t="s">
        <v>228</v>
      </c>
      <c r="C60" s="111"/>
      <c r="D60" s="111"/>
      <c r="E60" s="111"/>
      <c r="F60" s="41" t="s">
        <v>229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ht="15.75" thickBot="1">
      <c r="A61" s="68"/>
      <c r="C61" s="111"/>
      <c r="D61" s="111"/>
      <c r="E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9" ht="17.25" thickBot="1">
      <c r="A62" s="87"/>
      <c r="B62" s="88" t="s">
        <v>14</v>
      </c>
      <c r="C62" s="89" t="s">
        <v>36</v>
      </c>
      <c r="D62" s="90" t="s">
        <v>37</v>
      </c>
      <c r="E62" s="90" t="s">
        <v>230</v>
      </c>
      <c r="F62" s="90" t="s">
        <v>231</v>
      </c>
      <c r="G62" s="90" t="s">
        <v>232</v>
      </c>
      <c r="H62" s="90" t="s">
        <v>38</v>
      </c>
      <c r="I62" s="90" t="s">
        <v>233</v>
      </c>
      <c r="J62" s="90" t="s">
        <v>234</v>
      </c>
      <c r="K62" s="90" t="s">
        <v>203</v>
      </c>
      <c r="L62" s="90" t="s">
        <v>235</v>
      </c>
      <c r="M62" s="90" t="s">
        <v>236</v>
      </c>
      <c r="N62" s="90" t="s">
        <v>237</v>
      </c>
      <c r="O62" s="116" t="s">
        <v>238</v>
      </c>
      <c r="P62" s="116" t="s">
        <v>239</v>
      </c>
      <c r="Q62" s="117" t="s">
        <v>240</v>
      </c>
      <c r="R62" s="118" t="s">
        <v>241</v>
      </c>
      <c r="S62" s="82"/>
    </row>
    <row r="63" spans="1:18" ht="18.75" thickBot="1">
      <c r="A63" s="87"/>
      <c r="B63" s="119"/>
      <c r="C63" s="120" t="s">
        <v>39</v>
      </c>
      <c r="D63" s="121" t="s">
        <v>40</v>
      </c>
      <c r="E63" s="96" t="s">
        <v>208</v>
      </c>
      <c r="F63" s="96" t="s">
        <v>208</v>
      </c>
      <c r="G63" s="96" t="s">
        <v>208</v>
      </c>
      <c r="H63" s="121"/>
      <c r="I63" s="122" t="s">
        <v>242</v>
      </c>
      <c r="J63" s="88"/>
      <c r="K63" s="120" t="s">
        <v>22</v>
      </c>
      <c r="L63" s="121" t="s">
        <v>22</v>
      </c>
      <c r="M63" s="121" t="s">
        <v>19</v>
      </c>
      <c r="N63" s="121" t="s">
        <v>19</v>
      </c>
      <c r="O63" s="121" t="s">
        <v>19</v>
      </c>
      <c r="P63" s="122" t="s">
        <v>23</v>
      </c>
      <c r="Q63" s="123" t="s">
        <v>24</v>
      </c>
      <c r="R63" s="124" t="s">
        <v>24</v>
      </c>
    </row>
    <row r="64" spans="1:18" ht="15.75" thickBot="1">
      <c r="A64" s="101"/>
      <c r="B64" s="125" t="s">
        <v>130</v>
      </c>
      <c r="C64" s="126"/>
      <c r="D64" s="127"/>
      <c r="E64" s="106">
        <v>60</v>
      </c>
      <c r="F64" s="92">
        <v>5</v>
      </c>
      <c r="G64" s="104">
        <v>5</v>
      </c>
      <c r="H64" s="92">
        <v>0.8</v>
      </c>
      <c r="I64" s="92">
        <v>0.999</v>
      </c>
      <c r="J64" s="92">
        <v>0.74</v>
      </c>
      <c r="K64" s="92">
        <v>5880</v>
      </c>
      <c r="L64" s="92"/>
      <c r="M64" s="128">
        <f>ROUND(J64*C64*D64*I64*(E64-F64)/24*POWER(10,-6)*1.2,6)</f>
        <v>0</v>
      </c>
      <c r="N64" s="129">
        <f>M64*((E64-G64)/(E64-F64))*H64</f>
        <v>0</v>
      </c>
      <c r="O64" s="128">
        <f>M64*2.4</f>
        <v>0</v>
      </c>
      <c r="P64" s="108">
        <f>(M64*K64+N64*L64)</f>
        <v>0</v>
      </c>
      <c r="Q64" s="130">
        <f>M64*1000/(E64-F64)</f>
        <v>0</v>
      </c>
      <c r="R64" s="131">
        <f>N64*1000/(E64-G64)</f>
        <v>0</v>
      </c>
    </row>
    <row r="65" spans="1:18" ht="15">
      <c r="A65" s="68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32">
        <f aca="true" t="shared" si="0" ref="M65:R65">SUM(M64:M64)</f>
        <v>0</v>
      </c>
      <c r="N65" s="132">
        <f t="shared" si="0"/>
        <v>0</v>
      </c>
      <c r="O65" s="133">
        <f t="shared" si="0"/>
        <v>0</v>
      </c>
      <c r="P65" s="134">
        <f t="shared" si="0"/>
        <v>0</v>
      </c>
      <c r="Q65" s="135">
        <f t="shared" si="0"/>
        <v>0</v>
      </c>
      <c r="R65" s="135">
        <f t="shared" si="0"/>
        <v>0</v>
      </c>
    </row>
    <row r="66" spans="1:17" ht="15">
      <c r="A66" s="68" t="s">
        <v>41</v>
      </c>
      <c r="B66" s="41" t="s">
        <v>42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ht="16.5">
      <c r="A67" s="68"/>
      <c r="B67" s="41" t="s">
        <v>243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7" ht="18">
      <c r="A68" s="41" t="s">
        <v>3</v>
      </c>
      <c r="B68" s="41" t="s">
        <v>244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ht="16.5">
      <c r="A69" s="68"/>
      <c r="B69" s="41" t="s">
        <v>245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1:17" ht="18">
      <c r="A70" s="68"/>
      <c r="B70" s="41" t="s">
        <v>246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7" ht="18">
      <c r="A71" s="68"/>
      <c r="B71" s="41" t="s">
        <v>247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 t="s">
        <v>43</v>
      </c>
      <c r="O71" s="111"/>
      <c r="P71" s="111"/>
      <c r="Q71" s="111"/>
    </row>
    <row r="72" spans="1:17" ht="15">
      <c r="A72" s="68"/>
      <c r="B72" s="41" t="s">
        <v>44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1:18" ht="15">
      <c r="A73" s="85"/>
      <c r="B73" s="41" t="s">
        <v>248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36"/>
      <c r="M73" s="136"/>
      <c r="N73" s="137"/>
      <c r="P73" s="138"/>
      <c r="Q73" s="139"/>
      <c r="R73" s="140"/>
    </row>
    <row r="74" spans="1:18" ht="16.5">
      <c r="A74" s="68"/>
      <c r="B74" s="141" t="s">
        <v>249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36"/>
      <c r="M74" s="136"/>
      <c r="N74" s="137"/>
      <c r="P74" s="138"/>
      <c r="Q74" s="139"/>
      <c r="R74" s="140"/>
    </row>
    <row r="75" spans="1:18" ht="16.5">
      <c r="A75" s="141" t="s">
        <v>3</v>
      </c>
      <c r="B75" s="141" t="s">
        <v>250</v>
      </c>
      <c r="C75" s="111"/>
      <c r="D75" s="111"/>
      <c r="E75" s="111"/>
      <c r="F75" s="111"/>
      <c r="H75" s="142">
        <v>0.2</v>
      </c>
      <c r="I75" s="143" t="s">
        <v>45</v>
      </c>
      <c r="J75" s="111"/>
      <c r="K75" s="111"/>
      <c r="L75" s="136"/>
      <c r="M75" s="136"/>
      <c r="N75" s="137"/>
      <c r="P75" s="138"/>
      <c r="Q75" s="139"/>
      <c r="R75" s="140"/>
    </row>
    <row r="76" spans="1:17" ht="15">
      <c r="A76" s="84" t="s">
        <v>46</v>
      </c>
      <c r="B76" s="82" t="s">
        <v>156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ht="15">
      <c r="A77" s="68" t="s">
        <v>47</v>
      </c>
      <c r="B77" s="41" t="s">
        <v>48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1:17" ht="18">
      <c r="A78" s="68"/>
      <c r="B78" s="41" t="s">
        <v>251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1:17" ht="18">
      <c r="A79" s="41" t="s">
        <v>3</v>
      </c>
      <c r="B79" s="41" t="s">
        <v>252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6.5">
      <c r="A80" s="68"/>
      <c r="B80" s="41" t="s">
        <v>253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ht="18">
      <c r="A81" s="68"/>
      <c r="B81" s="41" t="s">
        <v>254</v>
      </c>
      <c r="C81" s="144">
        <v>984.6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ht="18">
      <c r="A82" s="68"/>
      <c r="B82" s="41" t="s">
        <v>255</v>
      </c>
      <c r="C82" s="111"/>
      <c r="D82" s="111"/>
      <c r="E82" s="111"/>
      <c r="F82" s="111"/>
      <c r="G82" s="144">
        <v>0.999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ht="15">
      <c r="A83" s="68"/>
      <c r="B83" s="41" t="s">
        <v>49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ht="15">
      <c r="A84" s="68"/>
      <c r="B84" s="41" t="s">
        <v>153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1:17" ht="18">
      <c r="A85" s="68"/>
      <c r="B85" s="41" t="s">
        <v>256</v>
      </c>
      <c r="C85" s="111"/>
      <c r="D85" s="111"/>
      <c r="E85" s="111"/>
      <c r="F85" s="111"/>
      <c r="G85" s="111"/>
      <c r="H85" s="111"/>
      <c r="I85" s="111"/>
      <c r="J85" s="111"/>
      <c r="K85" s="111" t="s">
        <v>257</v>
      </c>
      <c r="L85" s="145">
        <f>(62.25*5496+60*2904)/(5496+2904)</f>
        <v>61.472142857142856</v>
      </c>
      <c r="M85" s="111" t="s">
        <v>258</v>
      </c>
      <c r="N85" s="145">
        <f>(48.78*5496+60*2909)/(5496+2904)</f>
        <v>52.694628571428574</v>
      </c>
      <c r="O85" s="111"/>
      <c r="P85" s="111"/>
      <c r="Q85" s="111"/>
    </row>
    <row r="86" spans="1:17" ht="18">
      <c r="A86" s="68"/>
      <c r="B86" s="41" t="s">
        <v>259</v>
      </c>
      <c r="C86" s="111"/>
      <c r="D86" s="111"/>
      <c r="E86" s="111"/>
      <c r="F86" s="113">
        <f>(5*5496+15*2904)/(5496+2904)</f>
        <v>8.457142857142857</v>
      </c>
      <c r="G86" s="146" t="s">
        <v>260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17" ht="18">
      <c r="A87" s="41" t="s">
        <v>3</v>
      </c>
      <c r="B87" s="41" t="s">
        <v>261</v>
      </c>
      <c r="C87" s="111"/>
      <c r="D87" s="111"/>
      <c r="E87" s="111"/>
      <c r="F87" s="113"/>
      <c r="G87" s="146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1:17" ht="18">
      <c r="A88" s="68"/>
      <c r="B88" s="41" t="s">
        <v>262</v>
      </c>
      <c r="C88" s="111"/>
      <c r="D88" s="111"/>
      <c r="E88" s="111"/>
      <c r="F88" s="113"/>
      <c r="G88" s="146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1:17" ht="18">
      <c r="A89" s="68"/>
      <c r="B89" s="41" t="s">
        <v>263</v>
      </c>
      <c r="C89" s="111"/>
      <c r="D89" s="111"/>
      <c r="E89" s="111"/>
      <c r="F89" s="113"/>
      <c r="G89" s="146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1:17" ht="15">
      <c r="A90" s="68" t="s">
        <v>50</v>
      </c>
      <c r="B90" s="41" t="s">
        <v>161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7" ht="18">
      <c r="A91" s="68"/>
      <c r="B91" s="41" t="s">
        <v>264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1:17" ht="18">
      <c r="A92" s="68"/>
      <c r="B92" s="41" t="s">
        <v>265</v>
      </c>
      <c r="C92" s="111"/>
      <c r="D92" s="111"/>
      <c r="E92" s="111"/>
      <c r="F92" s="111"/>
      <c r="G92" s="111"/>
      <c r="H92" s="111"/>
      <c r="I92" s="111"/>
      <c r="J92" s="111"/>
      <c r="K92" s="111"/>
      <c r="P92" s="111"/>
      <c r="Q92" s="111"/>
    </row>
    <row r="93" spans="1:17" ht="18">
      <c r="A93" s="41" t="s">
        <v>3</v>
      </c>
      <c r="B93" s="41" t="s">
        <v>266</v>
      </c>
      <c r="C93" s="111"/>
      <c r="D93" s="111"/>
      <c r="E93" s="111"/>
      <c r="F93" s="111"/>
      <c r="G93" s="111"/>
      <c r="H93" s="111"/>
      <c r="I93" s="111"/>
      <c r="J93" s="111"/>
      <c r="K93" s="111"/>
      <c r="P93" s="111"/>
      <c r="Q93" s="111"/>
    </row>
    <row r="94" spans="1:17" ht="15">
      <c r="A94" s="68"/>
      <c r="B94" s="41" t="s">
        <v>51</v>
      </c>
      <c r="C94" s="111"/>
      <c r="D94" s="111"/>
      <c r="E94" s="111"/>
      <c r="F94" s="111"/>
      <c r="G94" s="111"/>
      <c r="H94" s="111"/>
      <c r="I94" s="111"/>
      <c r="J94" s="111"/>
      <c r="K94" s="111"/>
      <c r="P94" s="111"/>
      <c r="Q94" s="111"/>
    </row>
    <row r="95" spans="1:17" ht="18">
      <c r="A95" s="68"/>
      <c r="B95" s="41" t="s">
        <v>267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47"/>
      <c r="O95" s="111"/>
      <c r="P95" s="111"/>
      <c r="Q95" s="111"/>
    </row>
    <row r="96" spans="1:17" ht="16.5">
      <c r="A96" s="68"/>
      <c r="B96" s="41" t="s">
        <v>268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7" ht="15">
      <c r="A97" s="68"/>
      <c r="B97" s="41" t="s">
        <v>52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1:17" ht="15">
      <c r="A98" s="68" t="s">
        <v>53</v>
      </c>
      <c r="B98" s="41" t="s">
        <v>269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17" ht="18">
      <c r="A99" s="68"/>
      <c r="B99" s="41" t="s">
        <v>270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N99" s="148"/>
      <c r="O99" s="111"/>
      <c r="P99" s="111"/>
      <c r="Q99" s="111"/>
    </row>
    <row r="100" spans="1:17" ht="18">
      <c r="A100" s="41" t="s">
        <v>3</v>
      </c>
      <c r="B100" s="41" t="s">
        <v>271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O100" s="111"/>
      <c r="P100" s="111"/>
      <c r="Q100" s="111"/>
    </row>
    <row r="101" spans="1:17" ht="18">
      <c r="A101" s="68"/>
      <c r="B101" s="41" t="s">
        <v>272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O101" s="111"/>
      <c r="P101" s="111"/>
      <c r="Q101" s="111"/>
    </row>
    <row r="102" spans="1:17" ht="16.5">
      <c r="A102" s="68"/>
      <c r="B102" s="41" t="s">
        <v>273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1:17" ht="18">
      <c r="A103" s="68"/>
      <c r="B103" s="41" t="s">
        <v>274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O103" s="111"/>
      <c r="P103" s="111"/>
      <c r="Q103" s="111"/>
    </row>
    <row r="104" spans="1:17" ht="18">
      <c r="A104" s="68" t="s">
        <v>54</v>
      </c>
      <c r="B104" s="41" t="s">
        <v>275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ht="18.75">
      <c r="A105" s="68"/>
      <c r="B105" s="41" t="s">
        <v>276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1:17" ht="18.75">
      <c r="A106" s="41" t="s">
        <v>3</v>
      </c>
      <c r="B106" s="41" t="s">
        <v>277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17" ht="15">
      <c r="A107" s="41" t="s">
        <v>55</v>
      </c>
      <c r="B107" s="41" t="s">
        <v>56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 ht="16.5">
      <c r="B108" s="41" t="s">
        <v>278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1:17" ht="15">
      <c r="A109" s="41" t="s">
        <v>57</v>
      </c>
      <c r="B109" s="41" t="s">
        <v>58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 ht="16.5">
      <c r="B110" s="41" t="s">
        <v>279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1:17" ht="17.25" thickBot="1">
      <c r="A111" s="41" t="s">
        <v>3</v>
      </c>
      <c r="B111" s="41" t="s">
        <v>280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1:20" ht="15.75" thickBot="1">
      <c r="A112" s="87"/>
      <c r="B112" s="88" t="s">
        <v>14</v>
      </c>
      <c r="C112" s="149" t="s">
        <v>59</v>
      </c>
      <c r="D112" s="149"/>
      <c r="E112" s="149"/>
      <c r="F112" s="150"/>
      <c r="G112" s="151" t="s">
        <v>60</v>
      </c>
      <c r="H112" s="149"/>
      <c r="I112" s="150"/>
      <c r="J112" s="151" t="s">
        <v>61</v>
      </c>
      <c r="K112" s="149"/>
      <c r="L112" s="150"/>
      <c r="M112" s="151" t="s">
        <v>62</v>
      </c>
      <c r="N112" s="149"/>
      <c r="O112" s="149"/>
      <c r="P112" s="150"/>
      <c r="Q112" s="151" t="s">
        <v>63</v>
      </c>
      <c r="R112" s="149"/>
      <c r="S112" s="284" t="s">
        <v>64</v>
      </c>
      <c r="T112" s="285"/>
    </row>
    <row r="113" spans="1:20" ht="18" thickBot="1">
      <c r="A113" s="87"/>
      <c r="B113" s="94"/>
      <c r="C113" s="89" t="s">
        <v>281</v>
      </c>
      <c r="D113" s="90" t="s">
        <v>282</v>
      </c>
      <c r="E113" s="118" t="s">
        <v>283</v>
      </c>
      <c r="F113" s="152" t="s">
        <v>284</v>
      </c>
      <c r="G113" s="152" t="s">
        <v>65</v>
      </c>
      <c r="H113" s="116" t="s">
        <v>285</v>
      </c>
      <c r="I113" s="153" t="s">
        <v>286</v>
      </c>
      <c r="J113" s="154" t="s">
        <v>287</v>
      </c>
      <c r="K113" s="154" t="s">
        <v>288</v>
      </c>
      <c r="L113" s="154" t="s">
        <v>289</v>
      </c>
      <c r="M113" s="154" t="s">
        <v>290</v>
      </c>
      <c r="N113" s="154" t="s">
        <v>291</v>
      </c>
      <c r="O113" s="154" t="s">
        <v>292</v>
      </c>
      <c r="P113" s="116" t="s">
        <v>293</v>
      </c>
      <c r="Q113" s="117" t="s">
        <v>294</v>
      </c>
      <c r="R113" s="116" t="s">
        <v>295</v>
      </c>
      <c r="S113" s="155" t="s">
        <v>296</v>
      </c>
      <c r="T113" s="154" t="s">
        <v>297</v>
      </c>
    </row>
    <row r="114" spans="1:20" ht="18.75" thickBot="1">
      <c r="A114" s="87"/>
      <c r="B114" s="94"/>
      <c r="C114" s="120" t="s">
        <v>66</v>
      </c>
      <c r="D114" s="121" t="s">
        <v>20</v>
      </c>
      <c r="E114" s="156" t="s">
        <v>298</v>
      </c>
      <c r="F114" s="157" t="s">
        <v>209</v>
      </c>
      <c r="G114" s="158" t="s">
        <v>67</v>
      </c>
      <c r="H114" s="122" t="s">
        <v>299</v>
      </c>
      <c r="I114" s="159" t="s">
        <v>209</v>
      </c>
      <c r="J114" s="156" t="s">
        <v>299</v>
      </c>
      <c r="K114" s="156" t="s">
        <v>209</v>
      </c>
      <c r="L114" s="156" t="s">
        <v>209</v>
      </c>
      <c r="M114" s="156" t="s">
        <v>300</v>
      </c>
      <c r="N114" s="156" t="s">
        <v>300</v>
      </c>
      <c r="O114" s="156" t="s">
        <v>300</v>
      </c>
      <c r="P114" s="122" t="s">
        <v>23</v>
      </c>
      <c r="Q114" s="157" t="s">
        <v>209</v>
      </c>
      <c r="R114" s="122" t="s">
        <v>209</v>
      </c>
      <c r="S114" s="159" t="s">
        <v>24</v>
      </c>
      <c r="T114" s="156" t="s">
        <v>19</v>
      </c>
    </row>
    <row r="115" spans="1:20" ht="15">
      <c r="A115" s="101"/>
      <c r="B115" s="160"/>
      <c r="C115" s="161"/>
      <c r="D115" s="162"/>
      <c r="E115" s="163"/>
      <c r="F115" s="164">
        <f>2*E115*D115/1000</f>
        <v>0</v>
      </c>
      <c r="G115" s="164" t="s">
        <v>68</v>
      </c>
      <c r="H115" s="165">
        <v>19.5</v>
      </c>
      <c r="I115" s="166">
        <f>C36*H115</f>
        <v>0</v>
      </c>
      <c r="J115" s="165">
        <v>6</v>
      </c>
      <c r="K115" s="167">
        <f>M64*J115</f>
        <v>0</v>
      </c>
      <c r="L115" s="167">
        <f>N64*J115</f>
        <v>0</v>
      </c>
      <c r="M115" s="167">
        <f>(0.0025*Q115*5880/5880)*POWER(10,-2)</f>
        <v>0</v>
      </c>
      <c r="N115" s="167">
        <f>(0.0025*R115*2880/8760)*POWER(10,-2)*0</f>
        <v>0</v>
      </c>
      <c r="O115" s="167">
        <f>M115*5880/5880+N115*2880/8760*0</f>
        <v>0</v>
      </c>
      <c r="P115" s="168">
        <f>ROUND($O$115*$C$81*$G$82*(0.75*$L$85+(1-0.75)*$N$85-$F$86)*5880*POWER(10,-6),4)</f>
        <v>0</v>
      </c>
      <c r="Q115" s="166">
        <f>F115+I115+K115</f>
        <v>0</v>
      </c>
      <c r="R115" s="166">
        <f>F115+L115</f>
        <v>0</v>
      </c>
      <c r="S115" s="169">
        <f>Q115*0.0025*0.966455</f>
        <v>0</v>
      </c>
      <c r="T115" s="170">
        <f>S115*(0.75*105+0.25*70-5)*0.001</f>
        <v>0</v>
      </c>
    </row>
    <row r="116" spans="1:20" ht="15.75" thickBot="1">
      <c r="A116" s="101"/>
      <c r="B116" s="171"/>
      <c r="C116" s="172"/>
      <c r="D116" s="173"/>
      <c r="E116" s="174"/>
      <c r="F116" s="175">
        <f>2*E116*D116/1000</f>
        <v>0</v>
      </c>
      <c r="G116" s="175" t="s">
        <v>68</v>
      </c>
      <c r="H116" s="176">
        <v>19.5</v>
      </c>
      <c r="I116" s="177">
        <f>C37*H116</f>
        <v>0</v>
      </c>
      <c r="J116" s="176">
        <v>6</v>
      </c>
      <c r="K116" s="178">
        <f>M65*J116</f>
        <v>0</v>
      </c>
      <c r="L116" s="178">
        <f>N65*J116</f>
        <v>0</v>
      </c>
      <c r="M116" s="178">
        <f>(0.0025*Q116*5880/5880)*POWER(10,-2)</f>
        <v>0</v>
      </c>
      <c r="N116" s="178">
        <f>(0.0025*R116*2880/8760)*POWER(10,-2)*0</f>
        <v>0</v>
      </c>
      <c r="O116" s="178">
        <f>M116*5880/8760+N116*2880/8760</f>
        <v>0</v>
      </c>
      <c r="P116" s="179">
        <f>ROUND($O$116*$C$81*$G$82*(0.75*$L$85+(1-0.75)*$N$85-$F$86)*5880*POWER(10,-6),4)</f>
        <v>0</v>
      </c>
      <c r="Q116" s="177">
        <f>F116+I116+K116</f>
        <v>0</v>
      </c>
      <c r="R116" s="177">
        <f>F116+L116</f>
        <v>0</v>
      </c>
      <c r="S116" s="180">
        <f>Q116*0.0025*0.966455</f>
        <v>0</v>
      </c>
      <c r="T116" s="181">
        <f>S116*(0.75*105+0.25*70-5)*0.001</f>
        <v>0</v>
      </c>
    </row>
    <row r="117" spans="1:20" ht="15">
      <c r="A117" s="101"/>
      <c r="B117" s="182"/>
      <c r="C117" s="183"/>
      <c r="D117" s="101"/>
      <c r="E117" s="184"/>
      <c r="F117" s="101">
        <f>SUM(F115:F116)</f>
        <v>0</v>
      </c>
      <c r="G117" s="101"/>
      <c r="H117" s="185"/>
      <c r="I117" s="186"/>
      <c r="J117" s="185"/>
      <c r="K117" s="186"/>
      <c r="L117" s="14"/>
      <c r="M117" s="187">
        <f>SUM(M115:M116)</f>
        <v>0</v>
      </c>
      <c r="N117" s="187">
        <f aca="true" t="shared" si="1" ref="N117:T117">SUM(N115:N116)</f>
        <v>0</v>
      </c>
      <c r="O117" s="187">
        <f t="shared" si="1"/>
        <v>0</v>
      </c>
      <c r="P117" s="188">
        <f t="shared" si="1"/>
        <v>0</v>
      </c>
      <c r="Q117" s="186">
        <f t="shared" si="1"/>
        <v>0</v>
      </c>
      <c r="R117" s="186">
        <f t="shared" si="1"/>
        <v>0</v>
      </c>
      <c r="S117" s="188">
        <f t="shared" si="1"/>
        <v>0</v>
      </c>
      <c r="T117" s="187">
        <f t="shared" si="1"/>
        <v>0</v>
      </c>
    </row>
    <row r="118" spans="1:17" ht="15">
      <c r="A118" s="68" t="s">
        <v>69</v>
      </c>
      <c r="B118" s="141" t="s">
        <v>70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1:17" ht="15">
      <c r="A119" s="68"/>
      <c r="B119" s="41" t="s">
        <v>71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1:17" ht="15">
      <c r="A120" s="68" t="s">
        <v>72</v>
      </c>
      <c r="B120" s="141" t="s">
        <v>73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1:17" ht="18.75">
      <c r="A121" s="68"/>
      <c r="B121" s="41" t="s">
        <v>301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1:17" ht="15">
      <c r="A122" s="68" t="s">
        <v>74</v>
      </c>
      <c r="B122" s="141" t="s">
        <v>75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 ht="15">
      <c r="A123" s="68"/>
      <c r="B123" s="41" t="s">
        <v>157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1:17" ht="18">
      <c r="A124" s="68"/>
      <c r="B124" s="141" t="s">
        <v>302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1:17" ht="15">
      <c r="A125" s="68"/>
      <c r="B125" s="41" t="s">
        <v>158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1:17" ht="18">
      <c r="A126" s="68"/>
      <c r="B126" s="141" t="s">
        <v>303</v>
      </c>
      <c r="C126" s="111"/>
      <c r="D126" s="111"/>
      <c r="E126" s="189">
        <f>69+(80-69)*(56.47-52.5)/(65-52.5)</f>
        <v>72.4936</v>
      </c>
      <c r="F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1:17" ht="16.5">
      <c r="A127" s="41" t="s">
        <v>3</v>
      </c>
      <c r="B127" s="141" t="s">
        <v>304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1:17" ht="15">
      <c r="A128" s="68"/>
      <c r="B128" s="41" t="s">
        <v>76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1:17" ht="15">
      <c r="A129" s="68"/>
      <c r="B129" s="41" t="s">
        <v>77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1:17" ht="15">
      <c r="A130" s="68"/>
      <c r="B130" s="41" t="s">
        <v>78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1:17" ht="15.75" thickBot="1">
      <c r="A131" s="68"/>
      <c r="B131" s="14" t="s">
        <v>79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1:17" ht="18" thickBot="1">
      <c r="A132" s="87"/>
      <c r="B132" s="88" t="s">
        <v>14</v>
      </c>
      <c r="C132" s="89" t="s">
        <v>305</v>
      </c>
      <c r="D132" s="90" t="s">
        <v>306</v>
      </c>
      <c r="E132" s="90" t="s">
        <v>307</v>
      </c>
      <c r="F132" s="90" t="s">
        <v>308</v>
      </c>
      <c r="G132" s="190" t="s">
        <v>80</v>
      </c>
      <c r="H132" s="155" t="s">
        <v>309</v>
      </c>
      <c r="I132" s="155" t="s">
        <v>310</v>
      </c>
      <c r="J132" s="155" t="s">
        <v>311</v>
      </c>
      <c r="K132" s="155" t="s">
        <v>312</v>
      </c>
      <c r="O132" s="111"/>
      <c r="P132" s="111"/>
      <c r="Q132" s="111"/>
    </row>
    <row r="133" spans="1:17" ht="15.75" thickBot="1">
      <c r="A133" s="87"/>
      <c r="B133" s="94"/>
      <c r="C133" s="120" t="s">
        <v>66</v>
      </c>
      <c r="D133" s="121" t="s">
        <v>20</v>
      </c>
      <c r="E133" s="121" t="s">
        <v>81</v>
      </c>
      <c r="F133" s="121" t="s">
        <v>81</v>
      </c>
      <c r="G133" s="88"/>
      <c r="H133" s="88" t="s">
        <v>82</v>
      </c>
      <c r="I133" s="88" t="s">
        <v>82</v>
      </c>
      <c r="J133" s="88" t="s">
        <v>82</v>
      </c>
      <c r="K133" s="88" t="s">
        <v>23</v>
      </c>
      <c r="O133" s="111"/>
      <c r="P133" s="111"/>
      <c r="Q133" s="111"/>
    </row>
    <row r="134" spans="1:17" ht="15">
      <c r="A134" s="101"/>
      <c r="B134" s="160"/>
      <c r="C134" s="161"/>
      <c r="D134" s="162"/>
      <c r="E134" s="191"/>
      <c r="F134" s="164"/>
      <c r="G134" s="164">
        <v>1.2</v>
      </c>
      <c r="H134" s="192">
        <f>I134+J134</f>
        <v>0</v>
      </c>
      <c r="I134" s="193">
        <f>ROUND(E134*D134*G134*POWER(10,-6),6)</f>
        <v>0</v>
      </c>
      <c r="J134" s="193">
        <f>ROUND(G134*F134*D134*POWER(10,-6),6)</f>
        <v>0</v>
      </c>
      <c r="K134" s="194">
        <f>H134*5880</f>
        <v>0</v>
      </c>
      <c r="O134" s="111"/>
      <c r="P134" s="111"/>
      <c r="Q134" s="111"/>
    </row>
    <row r="135" spans="1:17" ht="15.75" thickBot="1">
      <c r="A135" s="101"/>
      <c r="B135" s="171"/>
      <c r="C135" s="172"/>
      <c r="D135" s="173"/>
      <c r="E135" s="195"/>
      <c r="F135" s="175"/>
      <c r="G135" s="175">
        <v>1.2</v>
      </c>
      <c r="H135" s="196">
        <f>I135+J135</f>
        <v>0</v>
      </c>
      <c r="I135" s="197">
        <f>ROUND(E135*D135*G135*POWER(10,-6),6)</f>
        <v>0</v>
      </c>
      <c r="J135" s="197">
        <f>ROUND(G135*F135*D135*POWER(10,-6),6)</f>
        <v>0</v>
      </c>
      <c r="K135" s="198">
        <f>H135*5880</f>
        <v>0</v>
      </c>
      <c r="O135" s="111"/>
      <c r="P135" s="111"/>
      <c r="Q135" s="111"/>
    </row>
    <row r="136" spans="1:17" ht="15">
      <c r="A136" s="68"/>
      <c r="C136" s="111"/>
      <c r="D136" s="111"/>
      <c r="E136" s="111"/>
      <c r="F136" s="111"/>
      <c r="G136" s="111"/>
      <c r="H136" s="199">
        <f>SUM(H134:H135)</f>
        <v>0</v>
      </c>
      <c r="I136" s="199">
        <f>SUM(I134:I135)</f>
        <v>0</v>
      </c>
      <c r="J136" s="199">
        <f>SUM(J134:J135)</f>
        <v>0</v>
      </c>
      <c r="K136" s="200">
        <f>SUM(K134:K135)</f>
        <v>0</v>
      </c>
      <c r="O136" s="111"/>
      <c r="P136" s="111"/>
      <c r="Q136" s="111"/>
    </row>
    <row r="137" spans="1:17" ht="15.75" thickBot="1">
      <c r="A137" s="68" t="s">
        <v>83</v>
      </c>
      <c r="B137" s="141" t="s">
        <v>84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1:17" ht="15.75" thickBot="1">
      <c r="A138" s="68"/>
      <c r="B138" s="141" t="s">
        <v>85</v>
      </c>
      <c r="C138" s="111"/>
      <c r="D138" s="111"/>
      <c r="E138" s="111"/>
      <c r="F138" s="111"/>
      <c r="G138" s="111"/>
      <c r="I138" s="151" t="s">
        <v>86</v>
      </c>
      <c r="J138" s="149"/>
      <c r="K138" s="201"/>
      <c r="L138" s="201"/>
      <c r="M138" s="201"/>
      <c r="N138" s="282" t="s">
        <v>87</v>
      </c>
      <c r="O138" s="283"/>
      <c r="P138" s="111"/>
      <c r="Q138" s="111"/>
    </row>
    <row r="139" spans="1:18" ht="18" thickBot="1">
      <c r="A139" s="101"/>
      <c r="B139" s="88" t="s">
        <v>14</v>
      </c>
      <c r="C139" s="202" t="s">
        <v>204</v>
      </c>
      <c r="D139" s="154" t="s">
        <v>313</v>
      </c>
      <c r="E139" s="154" t="s">
        <v>314</v>
      </c>
      <c r="F139" s="155" t="s">
        <v>312</v>
      </c>
      <c r="G139" s="155" t="s">
        <v>315</v>
      </c>
      <c r="H139" s="190" t="s">
        <v>316</v>
      </c>
      <c r="I139" s="153" t="s">
        <v>317</v>
      </c>
      <c r="J139" s="153" t="s">
        <v>318</v>
      </c>
      <c r="K139" s="90" t="s">
        <v>196</v>
      </c>
      <c r="L139" s="154" t="s">
        <v>292</v>
      </c>
      <c r="M139" s="203" t="s">
        <v>319</v>
      </c>
      <c r="N139" s="204" t="s">
        <v>88</v>
      </c>
      <c r="O139" s="205" t="s">
        <v>88</v>
      </c>
      <c r="P139" s="111"/>
      <c r="Q139" s="111"/>
      <c r="R139" s="206"/>
    </row>
    <row r="140" spans="1:17" ht="18.75" thickBot="1">
      <c r="A140" s="101"/>
      <c r="B140" s="94"/>
      <c r="C140" s="207" t="s">
        <v>23</v>
      </c>
      <c r="D140" s="156" t="s">
        <v>23</v>
      </c>
      <c r="E140" s="156" t="s">
        <v>23</v>
      </c>
      <c r="F140" s="88" t="s">
        <v>23</v>
      </c>
      <c r="G140" s="88" t="s">
        <v>23</v>
      </c>
      <c r="H140" s="88" t="s">
        <v>23</v>
      </c>
      <c r="I140" s="159" t="s">
        <v>19</v>
      </c>
      <c r="J140" s="159" t="s">
        <v>19</v>
      </c>
      <c r="K140" s="96" t="s">
        <v>19</v>
      </c>
      <c r="L140" s="156" t="s">
        <v>300</v>
      </c>
      <c r="M140" s="208" t="s">
        <v>82</v>
      </c>
      <c r="N140" s="209" t="s">
        <v>300</v>
      </c>
      <c r="O140" s="210" t="s">
        <v>320</v>
      </c>
      <c r="P140" s="111"/>
      <c r="Q140" s="111"/>
    </row>
    <row r="141" spans="1:17" ht="15.75" thickBot="1">
      <c r="A141" s="101"/>
      <c r="B141" s="102"/>
      <c r="C141" s="211">
        <f>O36</f>
        <v>0</v>
      </c>
      <c r="D141" s="212">
        <f>P65</f>
        <v>0</v>
      </c>
      <c r="E141" s="212">
        <f>P117</f>
        <v>0</v>
      </c>
      <c r="F141" s="212">
        <f>K136</f>
        <v>0</v>
      </c>
      <c r="G141" s="212">
        <f>SUM(C141:F141)</f>
        <v>0</v>
      </c>
      <c r="H141" s="212">
        <f>E141+F141</f>
        <v>0</v>
      </c>
      <c r="I141" s="213">
        <f>ROUND(M65,6)</f>
        <v>0</v>
      </c>
      <c r="J141" s="213">
        <f>ROUND(N65,6)</f>
        <v>0</v>
      </c>
      <c r="K141" s="214">
        <f>C36</f>
        <v>0</v>
      </c>
      <c r="L141" s="214">
        <f>O117</f>
        <v>0</v>
      </c>
      <c r="M141" s="214">
        <f>H141/5880</f>
        <v>0</v>
      </c>
      <c r="N141" s="214">
        <f>(M65/(60-5)*1000*5880+N65/(60-5)*1000*2880*0)/5880+L141</f>
        <v>0</v>
      </c>
      <c r="O141" s="215">
        <f>N141*5880</f>
        <v>0</v>
      </c>
      <c r="P141" s="216"/>
      <c r="Q141" s="111"/>
    </row>
    <row r="142" spans="1:17" ht="15">
      <c r="A142" s="101"/>
      <c r="B142" s="182"/>
      <c r="C142" s="137">
        <f aca="true" t="shared" si="2" ref="C142:O142">SUM(C141:C141)</f>
        <v>0</v>
      </c>
      <c r="D142" s="137">
        <f t="shared" si="2"/>
        <v>0</v>
      </c>
      <c r="E142" s="137">
        <f t="shared" si="2"/>
        <v>0</v>
      </c>
      <c r="F142" s="137">
        <f t="shared" si="2"/>
        <v>0</v>
      </c>
      <c r="G142" s="137">
        <f t="shared" si="2"/>
        <v>0</v>
      </c>
      <c r="H142" s="137">
        <f t="shared" si="2"/>
        <v>0</v>
      </c>
      <c r="I142" s="217">
        <f t="shared" si="2"/>
        <v>0</v>
      </c>
      <c r="J142" s="217">
        <f t="shared" si="2"/>
        <v>0</v>
      </c>
      <c r="K142" s="218">
        <f t="shared" si="2"/>
        <v>0</v>
      </c>
      <c r="L142" s="219">
        <f t="shared" si="2"/>
        <v>0</v>
      </c>
      <c r="M142" s="218">
        <f t="shared" si="2"/>
        <v>0</v>
      </c>
      <c r="N142" s="218">
        <f t="shared" si="2"/>
        <v>0</v>
      </c>
      <c r="O142" s="137">
        <f t="shared" si="2"/>
        <v>0</v>
      </c>
      <c r="P142" s="216"/>
      <c r="Q142" s="111"/>
    </row>
    <row r="143" spans="3:19" ht="15">
      <c r="C143" s="220"/>
      <c r="D143" s="221"/>
      <c r="E143" s="221"/>
      <c r="F143" s="221"/>
      <c r="G143" s="221"/>
      <c r="H143" s="222"/>
      <c r="I143" s="223"/>
      <c r="J143" s="224"/>
      <c r="K143" s="225"/>
      <c r="L143" s="226"/>
      <c r="M143" s="227"/>
      <c r="N143" s="228"/>
      <c r="O143" s="111"/>
      <c r="P143" s="111"/>
      <c r="Q143" s="111"/>
      <c r="S143" s="82"/>
    </row>
    <row r="144" spans="1:9" ht="15.75" thickBot="1">
      <c r="A144" s="68" t="s">
        <v>89</v>
      </c>
      <c r="B144" s="141" t="s">
        <v>90</v>
      </c>
      <c r="I144" s="229"/>
    </row>
    <row r="145" spans="1:18" ht="15.75" thickBot="1">
      <c r="A145" s="87"/>
      <c r="B145" s="71"/>
      <c r="C145" s="149" t="s">
        <v>91</v>
      </c>
      <c r="D145" s="149"/>
      <c r="E145" s="149"/>
      <c r="F145" s="149"/>
      <c r="G145" s="149"/>
      <c r="H145" s="149"/>
      <c r="I145" s="230"/>
      <c r="J145" s="149"/>
      <c r="K145" s="149"/>
      <c r="L145" s="149"/>
      <c r="M145" s="149"/>
      <c r="N145" s="149"/>
      <c r="O145" s="149"/>
      <c r="P145" s="149"/>
      <c r="Q145" s="149"/>
      <c r="R145" s="150"/>
    </row>
    <row r="146" spans="1:18" ht="15.75" thickBot="1">
      <c r="A146" s="87"/>
      <c r="B146" s="94" t="s">
        <v>14</v>
      </c>
      <c r="C146" s="149" t="s">
        <v>92</v>
      </c>
      <c r="D146" s="149" t="s">
        <v>92</v>
      </c>
      <c r="E146" s="149" t="s">
        <v>92</v>
      </c>
      <c r="F146" s="150" t="s">
        <v>93</v>
      </c>
      <c r="G146" s="149" t="s">
        <v>92</v>
      </c>
      <c r="H146" s="149" t="s">
        <v>92</v>
      </c>
      <c r="I146" s="149" t="s">
        <v>92</v>
      </c>
      <c r="J146" s="149" t="s">
        <v>93</v>
      </c>
      <c r="K146" s="151" t="s">
        <v>92</v>
      </c>
      <c r="L146" s="149" t="s">
        <v>92</v>
      </c>
      <c r="M146" s="149" t="s">
        <v>92</v>
      </c>
      <c r="N146" s="150" t="s">
        <v>93</v>
      </c>
      <c r="O146" s="149" t="s">
        <v>92</v>
      </c>
      <c r="P146" s="149" t="s">
        <v>92</v>
      </c>
      <c r="Q146" s="149" t="s">
        <v>92</v>
      </c>
      <c r="R146" s="150" t="s">
        <v>93</v>
      </c>
    </row>
    <row r="147" spans="1:18" ht="15.75" thickBot="1">
      <c r="A147" s="87"/>
      <c r="B147" s="94"/>
      <c r="C147" s="149" t="s">
        <v>94</v>
      </c>
      <c r="D147" s="149" t="s">
        <v>95</v>
      </c>
      <c r="E147" s="149" t="s">
        <v>96</v>
      </c>
      <c r="F147" s="150" t="s">
        <v>97</v>
      </c>
      <c r="G147" s="149" t="s">
        <v>98</v>
      </c>
      <c r="H147" s="149" t="s">
        <v>99</v>
      </c>
      <c r="I147" s="149" t="s">
        <v>100</v>
      </c>
      <c r="J147" s="149" t="s">
        <v>101</v>
      </c>
      <c r="K147" s="151" t="s">
        <v>102</v>
      </c>
      <c r="L147" s="149" t="s">
        <v>103</v>
      </c>
      <c r="M147" s="149" t="s">
        <v>104</v>
      </c>
      <c r="N147" s="150" t="s">
        <v>105</v>
      </c>
      <c r="O147" s="149" t="s">
        <v>106</v>
      </c>
      <c r="P147" s="149" t="s">
        <v>107</v>
      </c>
      <c r="Q147" s="149" t="s">
        <v>108</v>
      </c>
      <c r="R147" s="150" t="s">
        <v>109</v>
      </c>
    </row>
    <row r="148" spans="1:18" ht="15.75" thickBot="1">
      <c r="A148" s="87"/>
      <c r="B148" s="94"/>
      <c r="C148" s="231">
        <v>0.19</v>
      </c>
      <c r="D148" s="232">
        <v>0.15</v>
      </c>
      <c r="E148" s="232">
        <v>0.14</v>
      </c>
      <c r="F148" s="73"/>
      <c r="G148" s="232">
        <v>0.08</v>
      </c>
      <c r="H148" s="232">
        <v>0.02</v>
      </c>
      <c r="I148" s="232">
        <v>0</v>
      </c>
      <c r="J148" s="73"/>
      <c r="K148" s="232">
        <v>0</v>
      </c>
      <c r="L148" s="232">
        <v>0</v>
      </c>
      <c r="M148" s="232">
        <v>0.03</v>
      </c>
      <c r="N148" s="73"/>
      <c r="O148" s="232">
        <v>0.09</v>
      </c>
      <c r="P148" s="232">
        <v>0.13</v>
      </c>
      <c r="Q148" s="232">
        <v>0.17</v>
      </c>
      <c r="R148" s="233"/>
    </row>
    <row r="149" spans="1:18" ht="15.75" thickBot="1">
      <c r="A149" s="101"/>
      <c r="B149" s="102"/>
      <c r="C149" s="234">
        <f>$C$148*C141</f>
        <v>0</v>
      </c>
      <c r="D149" s="235">
        <f>$D$148*C141</f>
        <v>0</v>
      </c>
      <c r="E149" s="235">
        <f>$E$148*C141</f>
        <v>0</v>
      </c>
      <c r="F149" s="236">
        <f>SUM(C149:E149)</f>
        <v>0</v>
      </c>
      <c r="G149" s="235">
        <f>$G$148*C141</f>
        <v>0</v>
      </c>
      <c r="H149" s="235">
        <f>$H$148*C141</f>
        <v>0</v>
      </c>
      <c r="I149" s="235">
        <f>$I$148*C141</f>
        <v>0</v>
      </c>
      <c r="J149" s="236">
        <f>SUM(G149:I149)</f>
        <v>0</v>
      </c>
      <c r="K149" s="235">
        <f>$K$148*C141</f>
        <v>0</v>
      </c>
      <c r="L149" s="235">
        <f>$L$148*C141</f>
        <v>0</v>
      </c>
      <c r="M149" s="235">
        <f>$M$148*C141</f>
        <v>0</v>
      </c>
      <c r="N149" s="236">
        <f>SUM(K149:M149)</f>
        <v>0</v>
      </c>
      <c r="O149" s="235">
        <f>$O$148*C141</f>
        <v>0</v>
      </c>
      <c r="P149" s="235">
        <f>$P$148*C141</f>
        <v>0</v>
      </c>
      <c r="Q149" s="235">
        <f>$Q$148*C141</f>
        <v>0</v>
      </c>
      <c r="R149" s="237">
        <f>SUM(O149:Q149)</f>
        <v>0</v>
      </c>
    </row>
    <row r="150" spans="1:18" ht="15">
      <c r="A150" s="101"/>
      <c r="B150" s="182"/>
      <c r="C150" s="238">
        <f aca="true" t="shared" si="3" ref="C150:R150">SUM(C149:C149)</f>
        <v>0</v>
      </c>
      <c r="D150" s="238">
        <f t="shared" si="3"/>
        <v>0</v>
      </c>
      <c r="E150" s="238">
        <f t="shared" si="3"/>
        <v>0</v>
      </c>
      <c r="F150" s="239">
        <f t="shared" si="3"/>
        <v>0</v>
      </c>
      <c r="G150" s="238">
        <f t="shared" si="3"/>
        <v>0</v>
      </c>
      <c r="H150" s="238">
        <f t="shared" si="3"/>
        <v>0</v>
      </c>
      <c r="I150" s="238">
        <f t="shared" si="3"/>
        <v>0</v>
      </c>
      <c r="J150" s="239">
        <f t="shared" si="3"/>
        <v>0</v>
      </c>
      <c r="K150" s="238">
        <f t="shared" si="3"/>
        <v>0</v>
      </c>
      <c r="L150" s="238">
        <f t="shared" si="3"/>
        <v>0</v>
      </c>
      <c r="M150" s="238">
        <f t="shared" si="3"/>
        <v>0</v>
      </c>
      <c r="N150" s="239">
        <f t="shared" si="3"/>
        <v>0</v>
      </c>
      <c r="O150" s="238">
        <f t="shared" si="3"/>
        <v>0</v>
      </c>
      <c r="P150" s="238">
        <f t="shared" si="3"/>
        <v>0</v>
      </c>
      <c r="Q150" s="238">
        <f t="shared" si="3"/>
        <v>0</v>
      </c>
      <c r="R150" s="239">
        <f t="shared" si="3"/>
        <v>0</v>
      </c>
    </row>
    <row r="151" spans="1:18" ht="15.75" thickBot="1">
      <c r="A151" s="68"/>
      <c r="R151" s="240">
        <f>R150+N150+J150+F150</f>
        <v>0</v>
      </c>
    </row>
    <row r="152" spans="1:18" ht="15.75" thickBot="1">
      <c r="A152" s="87"/>
      <c r="B152" s="88"/>
      <c r="C152" s="70" t="s">
        <v>110</v>
      </c>
      <c r="D152" s="70"/>
      <c r="E152" s="70"/>
      <c r="F152" s="70"/>
      <c r="G152" s="70"/>
      <c r="H152" s="70"/>
      <c r="I152" s="241"/>
      <c r="J152" s="70"/>
      <c r="K152" s="70"/>
      <c r="L152" s="70"/>
      <c r="M152" s="70"/>
      <c r="N152" s="70"/>
      <c r="O152" s="70"/>
      <c r="P152" s="70"/>
      <c r="Q152" s="70"/>
      <c r="R152" s="72"/>
    </row>
    <row r="153" spans="1:18" ht="15.75" thickBot="1">
      <c r="A153" s="87"/>
      <c r="B153" s="94" t="s">
        <v>14</v>
      </c>
      <c r="C153" s="149" t="s">
        <v>92</v>
      </c>
      <c r="D153" s="149" t="s">
        <v>92</v>
      </c>
      <c r="E153" s="149" t="s">
        <v>92</v>
      </c>
      <c r="F153" s="150" t="s">
        <v>93</v>
      </c>
      <c r="G153" s="149" t="s">
        <v>92</v>
      </c>
      <c r="H153" s="149" t="s">
        <v>92</v>
      </c>
      <c r="I153" s="149" t="s">
        <v>92</v>
      </c>
      <c r="J153" s="149" t="s">
        <v>93</v>
      </c>
      <c r="K153" s="151" t="s">
        <v>92</v>
      </c>
      <c r="L153" s="149" t="s">
        <v>92</v>
      </c>
      <c r="M153" s="149" t="s">
        <v>92</v>
      </c>
      <c r="N153" s="150" t="s">
        <v>93</v>
      </c>
      <c r="O153" s="149" t="s">
        <v>92</v>
      </c>
      <c r="P153" s="149" t="s">
        <v>92</v>
      </c>
      <c r="Q153" s="149" t="s">
        <v>92</v>
      </c>
      <c r="R153" s="150" t="s">
        <v>93</v>
      </c>
    </row>
    <row r="154" spans="1:18" ht="15.75" thickBot="1">
      <c r="A154" s="87"/>
      <c r="B154" s="119"/>
      <c r="C154" s="70" t="s">
        <v>94</v>
      </c>
      <c r="D154" s="70" t="s">
        <v>95</v>
      </c>
      <c r="E154" s="70" t="s">
        <v>96</v>
      </c>
      <c r="F154" s="72" t="s">
        <v>97</v>
      </c>
      <c r="G154" s="70" t="s">
        <v>98</v>
      </c>
      <c r="H154" s="70" t="s">
        <v>99</v>
      </c>
      <c r="I154" s="70" t="s">
        <v>100</v>
      </c>
      <c r="J154" s="70" t="s">
        <v>101</v>
      </c>
      <c r="K154" s="69" t="s">
        <v>102</v>
      </c>
      <c r="L154" s="70" t="s">
        <v>103</v>
      </c>
      <c r="M154" s="70" t="s">
        <v>104</v>
      </c>
      <c r="N154" s="72" t="s">
        <v>105</v>
      </c>
      <c r="O154" s="70" t="s">
        <v>106</v>
      </c>
      <c r="P154" s="70" t="s">
        <v>107</v>
      </c>
      <c r="Q154" s="70" t="s">
        <v>108</v>
      </c>
      <c r="R154" s="72" t="s">
        <v>109</v>
      </c>
    </row>
    <row r="155" spans="1:18" ht="15.75" thickBot="1">
      <c r="A155" s="101"/>
      <c r="B155" s="242"/>
      <c r="C155" s="234">
        <f>I141*24*31</f>
        <v>0</v>
      </c>
      <c r="D155" s="235">
        <f>I141*24*28</f>
        <v>0</v>
      </c>
      <c r="E155" s="235">
        <f>I141*31*24</f>
        <v>0</v>
      </c>
      <c r="F155" s="236">
        <f>SUM(C155:E155)</f>
        <v>0</v>
      </c>
      <c r="G155" s="235">
        <f>I141*30*24</f>
        <v>0</v>
      </c>
      <c r="H155" s="235">
        <f>I141*14*24+J141*17*24*0</f>
        <v>0</v>
      </c>
      <c r="I155" s="235">
        <f>J141*30*24*0</f>
        <v>0</v>
      </c>
      <c r="J155" s="236">
        <f>SUM(G155:I155)</f>
        <v>0</v>
      </c>
      <c r="K155" s="235">
        <f>J141*24*31*0</f>
        <v>0</v>
      </c>
      <c r="L155" s="235">
        <f>J141*24*31*0</f>
        <v>0</v>
      </c>
      <c r="M155" s="235">
        <f>I141*19*24+J141*11*24*0</f>
        <v>0</v>
      </c>
      <c r="N155" s="236">
        <f>SUM(K155:M155)</f>
        <v>0</v>
      </c>
      <c r="O155" s="235">
        <f>I141*24*31</f>
        <v>0</v>
      </c>
      <c r="P155" s="235">
        <f>I141*24*30</f>
        <v>0</v>
      </c>
      <c r="Q155" s="235">
        <f>I141*24*31</f>
        <v>0</v>
      </c>
      <c r="R155" s="237">
        <f>SUM(O155:Q155)</f>
        <v>0</v>
      </c>
    </row>
    <row r="156" spans="1:18" ht="15">
      <c r="A156" s="101"/>
      <c r="B156" s="182"/>
      <c r="C156" s="238">
        <f aca="true" t="shared" si="4" ref="C156:R156">SUM(C155:C155)</f>
        <v>0</v>
      </c>
      <c r="D156" s="238">
        <f t="shared" si="4"/>
        <v>0</v>
      </c>
      <c r="E156" s="238">
        <f t="shared" si="4"/>
        <v>0</v>
      </c>
      <c r="F156" s="239">
        <f t="shared" si="4"/>
        <v>0</v>
      </c>
      <c r="G156" s="238">
        <f t="shared" si="4"/>
        <v>0</v>
      </c>
      <c r="H156" s="238">
        <f t="shared" si="4"/>
        <v>0</v>
      </c>
      <c r="I156" s="238">
        <f t="shared" si="4"/>
        <v>0</v>
      </c>
      <c r="J156" s="239">
        <f t="shared" si="4"/>
        <v>0</v>
      </c>
      <c r="K156" s="238">
        <f t="shared" si="4"/>
        <v>0</v>
      </c>
      <c r="L156" s="238">
        <f t="shared" si="4"/>
        <v>0</v>
      </c>
      <c r="M156" s="238">
        <f t="shared" si="4"/>
        <v>0</v>
      </c>
      <c r="N156" s="239">
        <f t="shared" si="4"/>
        <v>0</v>
      </c>
      <c r="O156" s="238">
        <f t="shared" si="4"/>
        <v>0</v>
      </c>
      <c r="P156" s="238">
        <f t="shared" si="4"/>
        <v>0</v>
      </c>
      <c r="Q156" s="238">
        <f t="shared" si="4"/>
        <v>0</v>
      </c>
      <c r="R156" s="239">
        <f t="shared" si="4"/>
        <v>0</v>
      </c>
    </row>
    <row r="157" spans="1:18" ht="15.75" thickBot="1">
      <c r="A157" s="68"/>
      <c r="R157" s="240">
        <f>R156+N156+J156+F156</f>
        <v>0</v>
      </c>
    </row>
    <row r="158" spans="1:18" ht="15.75" thickBot="1">
      <c r="A158" s="101"/>
      <c r="B158" s="88"/>
      <c r="C158" s="149" t="s">
        <v>111</v>
      </c>
      <c r="D158" s="149"/>
      <c r="E158" s="149"/>
      <c r="F158" s="149"/>
      <c r="G158" s="149"/>
      <c r="H158" s="149"/>
      <c r="I158" s="230"/>
      <c r="J158" s="149"/>
      <c r="K158" s="149"/>
      <c r="L158" s="149"/>
      <c r="M158" s="149"/>
      <c r="N158" s="149"/>
      <c r="O158" s="149"/>
      <c r="P158" s="149"/>
      <c r="Q158" s="149"/>
      <c r="R158" s="150"/>
    </row>
    <row r="159" spans="1:18" ht="15.75" thickBot="1">
      <c r="A159" s="101"/>
      <c r="B159" s="94" t="s">
        <v>14</v>
      </c>
      <c r="C159" s="149" t="s">
        <v>92</v>
      </c>
      <c r="D159" s="149" t="s">
        <v>92</v>
      </c>
      <c r="E159" s="149" t="s">
        <v>92</v>
      </c>
      <c r="F159" s="150" t="s">
        <v>93</v>
      </c>
      <c r="G159" s="149" t="s">
        <v>92</v>
      </c>
      <c r="H159" s="149" t="s">
        <v>92</v>
      </c>
      <c r="I159" s="149" t="s">
        <v>92</v>
      </c>
      <c r="J159" s="149" t="s">
        <v>93</v>
      </c>
      <c r="K159" s="151" t="s">
        <v>92</v>
      </c>
      <c r="L159" s="149" t="s">
        <v>92</v>
      </c>
      <c r="M159" s="149" t="s">
        <v>92</v>
      </c>
      <c r="N159" s="150" t="s">
        <v>93</v>
      </c>
      <c r="O159" s="149" t="s">
        <v>92</v>
      </c>
      <c r="P159" s="149" t="s">
        <v>92</v>
      </c>
      <c r="Q159" s="149" t="s">
        <v>92</v>
      </c>
      <c r="R159" s="150" t="s">
        <v>93</v>
      </c>
    </row>
    <row r="160" spans="1:18" ht="15.75" thickBot="1">
      <c r="A160" s="101"/>
      <c r="B160" s="94"/>
      <c r="C160" s="149" t="s">
        <v>94</v>
      </c>
      <c r="D160" s="149" t="s">
        <v>95</v>
      </c>
      <c r="E160" s="149" t="s">
        <v>96</v>
      </c>
      <c r="F160" s="150" t="s">
        <v>97</v>
      </c>
      <c r="G160" s="149" t="s">
        <v>98</v>
      </c>
      <c r="H160" s="149" t="s">
        <v>99</v>
      </c>
      <c r="I160" s="149" t="s">
        <v>100</v>
      </c>
      <c r="J160" s="149" t="s">
        <v>101</v>
      </c>
      <c r="K160" s="151" t="s">
        <v>102</v>
      </c>
      <c r="L160" s="149" t="s">
        <v>103</v>
      </c>
      <c r="M160" s="149" t="s">
        <v>104</v>
      </c>
      <c r="N160" s="150" t="s">
        <v>105</v>
      </c>
      <c r="O160" s="149" t="s">
        <v>106</v>
      </c>
      <c r="P160" s="149" t="s">
        <v>107</v>
      </c>
      <c r="Q160" s="149" t="s">
        <v>108</v>
      </c>
      <c r="R160" s="150" t="s">
        <v>109</v>
      </c>
    </row>
    <row r="161" spans="1:253" s="244" customFormat="1" ht="15.75" thickBot="1">
      <c r="A161" s="101"/>
      <c r="B161" s="119"/>
      <c r="C161" s="243">
        <v>0.19</v>
      </c>
      <c r="D161" s="232">
        <v>0.15</v>
      </c>
      <c r="E161" s="232">
        <v>0.14</v>
      </c>
      <c r="F161" s="73"/>
      <c r="G161" s="232">
        <v>0.08</v>
      </c>
      <c r="H161" s="232">
        <v>0.02</v>
      </c>
      <c r="I161" s="232">
        <v>0</v>
      </c>
      <c r="J161" s="73"/>
      <c r="K161" s="232">
        <v>0</v>
      </c>
      <c r="L161" s="232">
        <v>0</v>
      </c>
      <c r="M161" s="232">
        <v>0.03</v>
      </c>
      <c r="N161" s="73"/>
      <c r="O161" s="232">
        <v>0.09</v>
      </c>
      <c r="P161" s="232">
        <v>0.13</v>
      </c>
      <c r="Q161" s="232">
        <v>0.17</v>
      </c>
      <c r="R161" s="233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</row>
    <row r="162" spans="1:18" ht="15.75" thickBot="1">
      <c r="A162" s="101"/>
      <c r="B162" s="125"/>
      <c r="C162" s="245">
        <f>$C$161*F141</f>
        <v>0</v>
      </c>
      <c r="D162" s="235">
        <f>$D$161*F141</f>
        <v>0</v>
      </c>
      <c r="E162" s="235">
        <f>$E$161*F141</f>
        <v>0</v>
      </c>
      <c r="F162" s="236">
        <f>SUM(C162:E162)</f>
        <v>0</v>
      </c>
      <c r="G162" s="235">
        <f>$G$161*F141</f>
        <v>0</v>
      </c>
      <c r="H162" s="235">
        <f>$H$161*F141</f>
        <v>0</v>
      </c>
      <c r="I162" s="235">
        <f>$I$161*F141</f>
        <v>0</v>
      </c>
      <c r="J162" s="236">
        <f>SUM(G162:I162)</f>
        <v>0</v>
      </c>
      <c r="K162" s="235">
        <f>$K$161*F141</f>
        <v>0</v>
      </c>
      <c r="L162" s="235">
        <f>$L$161*F141</f>
        <v>0</v>
      </c>
      <c r="M162" s="235">
        <f>$M$161*F141</f>
        <v>0</v>
      </c>
      <c r="N162" s="236">
        <f>SUM(K162:M162)</f>
        <v>0</v>
      </c>
      <c r="O162" s="235">
        <f>$O$161*F141</f>
        <v>0</v>
      </c>
      <c r="P162" s="235">
        <f>$P$161*F141</f>
        <v>0</v>
      </c>
      <c r="Q162" s="235">
        <f>$Q$161*F141</f>
        <v>0</v>
      </c>
      <c r="R162" s="237">
        <f>SUM(O162:Q162)</f>
        <v>0</v>
      </c>
    </row>
    <row r="163" spans="1:28" s="246" customFormat="1" ht="15.75" thickBo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240">
        <f>R162+N162+J162+F162</f>
        <v>0</v>
      </c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</row>
    <row r="164" spans="1:28" s="246" customFormat="1" ht="15.75" thickBot="1">
      <c r="A164" s="101"/>
      <c r="B164" s="88"/>
      <c r="C164" s="149" t="s">
        <v>159</v>
      </c>
      <c r="D164" s="149"/>
      <c r="E164" s="149"/>
      <c r="F164" s="149"/>
      <c r="G164" s="149"/>
      <c r="H164" s="149"/>
      <c r="I164" s="230"/>
      <c r="J164" s="149"/>
      <c r="K164" s="149"/>
      <c r="L164" s="149"/>
      <c r="M164" s="149"/>
      <c r="N164" s="149"/>
      <c r="O164" s="149"/>
      <c r="P164" s="149"/>
      <c r="Q164" s="149"/>
      <c r="R164" s="150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</row>
    <row r="165" spans="1:28" s="246" customFormat="1" ht="15.75" thickBot="1">
      <c r="A165" s="101"/>
      <c r="B165" s="94" t="s">
        <v>14</v>
      </c>
      <c r="C165" s="149" t="s">
        <v>92</v>
      </c>
      <c r="D165" s="149" t="s">
        <v>92</v>
      </c>
      <c r="E165" s="149" t="s">
        <v>92</v>
      </c>
      <c r="F165" s="150" t="s">
        <v>93</v>
      </c>
      <c r="G165" s="149" t="s">
        <v>92</v>
      </c>
      <c r="H165" s="149" t="s">
        <v>92</v>
      </c>
      <c r="I165" s="149" t="s">
        <v>92</v>
      </c>
      <c r="J165" s="149" t="s">
        <v>93</v>
      </c>
      <c r="K165" s="151" t="s">
        <v>92</v>
      </c>
      <c r="L165" s="149" t="s">
        <v>92</v>
      </c>
      <c r="M165" s="149" t="s">
        <v>92</v>
      </c>
      <c r="N165" s="150" t="s">
        <v>93</v>
      </c>
      <c r="O165" s="149" t="s">
        <v>92</v>
      </c>
      <c r="P165" s="149" t="s">
        <v>92</v>
      </c>
      <c r="Q165" s="149" t="s">
        <v>92</v>
      </c>
      <c r="R165" s="150" t="s">
        <v>93</v>
      </c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</row>
    <row r="166" spans="1:28" s="246" customFormat="1" ht="15.75" thickBot="1">
      <c r="A166" s="101"/>
      <c r="B166" s="94"/>
      <c r="C166" s="149" t="s">
        <v>94</v>
      </c>
      <c r="D166" s="149" t="s">
        <v>95</v>
      </c>
      <c r="E166" s="149" t="s">
        <v>96</v>
      </c>
      <c r="F166" s="150" t="s">
        <v>97</v>
      </c>
      <c r="G166" s="149" t="s">
        <v>98</v>
      </c>
      <c r="H166" s="149" t="s">
        <v>99</v>
      </c>
      <c r="I166" s="149" t="s">
        <v>100</v>
      </c>
      <c r="J166" s="149" t="s">
        <v>101</v>
      </c>
      <c r="K166" s="151" t="s">
        <v>102</v>
      </c>
      <c r="L166" s="149" t="s">
        <v>103</v>
      </c>
      <c r="M166" s="149" t="s">
        <v>104</v>
      </c>
      <c r="N166" s="150" t="s">
        <v>105</v>
      </c>
      <c r="O166" s="149" t="s">
        <v>106</v>
      </c>
      <c r="P166" s="149" t="s">
        <v>107</v>
      </c>
      <c r="Q166" s="149" t="s">
        <v>108</v>
      </c>
      <c r="R166" s="150" t="s">
        <v>109</v>
      </c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</row>
    <row r="167" spans="1:28" s="246" customFormat="1" ht="15.75" thickBot="1">
      <c r="A167" s="101"/>
      <c r="B167" s="102"/>
      <c r="C167" s="247">
        <f>ROUND(M117*$C$81*$G$82*(0.75*$L$85+(1-0.75)*$N$85-$F$86)*24*31*POWER(10,-6),4)</f>
        <v>0</v>
      </c>
      <c r="D167" s="248">
        <f>ROUND(M117*$C$81*$G$82*(0.75*$L$85+(1-0.75)*$N$85-$F$86)*24*28*POWER(10,-6),4)</f>
        <v>0</v>
      </c>
      <c r="E167" s="248">
        <f>ROUND(M117*$C$81*$G$82*(0.75*$L$85+(1-0.75)*$N$85-$F$86)*24*31*POWER(10,-6),4)</f>
        <v>0</v>
      </c>
      <c r="F167" s="237">
        <f>SUM(C167:E167)</f>
        <v>0</v>
      </c>
      <c r="G167" s="248">
        <f>ROUND(M117*$C$81*$G$82*(0.75*$L$85+(1-0.75)*$N$85-$F$86)*24*30*POWER(10,-6),4)</f>
        <v>0</v>
      </c>
      <c r="H167" s="248">
        <f>ROUND(M117*$C$81*$G$82*(0.75*$L$85+(1-0.75)*$N$85-$F$86)*24*14*POWER(10,-6)+N117*$C$81*$G$82*(0.75*$L$85+(1-0.75)*$N$85-$F$86)*24*17*POWER(10,-6),4)*0</f>
        <v>0</v>
      </c>
      <c r="I167" s="248">
        <f>ROUND(N117*$C$81*$G$82*(0.75*$L$85+(1-0.75)*$N$85-$F$86)*24*30*0*POWER(10,-6),4)</f>
        <v>0</v>
      </c>
      <c r="J167" s="249">
        <f>SUM(G167:I167)</f>
        <v>0</v>
      </c>
      <c r="K167" s="248">
        <f>ROUND(N117*$C$81*$G$82*(0.75*$L$85+(1-0.75)*$N$85-$F$86)*24*31*POWER(10,-6),4)*0</f>
        <v>0</v>
      </c>
      <c r="L167" s="248">
        <f>ROUND(N117*$C$81*$G$82*(0.75*$L$85+(1-0.75)*$N$85-$F$86)*24*31*0*POWER(10,-6),4)</f>
        <v>0</v>
      </c>
      <c r="M167" s="248">
        <f>ROUND(M117*$C$81*$G$82*(0.75*$L$85+(1-0.75)*$N$85-$F$86)*24*19*POWER(10,-6)+N117*$C$81*$G$82*(0.75*$L$85+(1-0.75)*$N$85-$F$86)*24*11*POWER(10,-6),4)*0</f>
        <v>0</v>
      </c>
      <c r="N167" s="237">
        <f>SUM(K167:M167)</f>
        <v>0</v>
      </c>
      <c r="O167" s="248">
        <f>ROUND(M117*$C$81*$G$82*(0.75*$L$85+(1-0.75)*$N$85-$F$86)*24*31*POWER(10,-6),4)</f>
        <v>0</v>
      </c>
      <c r="P167" s="248">
        <f>ROUND(M117*$C$81*$G$82*(0.75*$L$85+(1-0.75)*$N$85-$F$86)*24*30*POWER(10,-6),4)</f>
        <v>0</v>
      </c>
      <c r="Q167" s="248">
        <f>ROUND(M117*$C$81*$G$82*(0.75*$L$85+(1-0.75)*$N$85-$F$86)*24*31*POWER(10,-6),4)</f>
        <v>0</v>
      </c>
      <c r="R167" s="237">
        <f>SUM(O167:Q167)</f>
        <v>0</v>
      </c>
      <c r="S167" s="250"/>
      <c r="T167" s="206"/>
      <c r="U167" s="206"/>
      <c r="V167" s="206"/>
      <c r="W167" s="206"/>
      <c r="X167" s="206"/>
      <c r="Y167" s="206"/>
      <c r="Z167" s="206"/>
      <c r="AA167" s="206"/>
      <c r="AB167" s="206"/>
    </row>
    <row r="168" spans="1:28" s="246" customFormat="1" ht="15.75" thickBo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240">
        <f>R167+N167+J167+F167</f>
        <v>0</v>
      </c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</row>
    <row r="169" spans="1:28" s="246" customFormat="1" ht="15.75" thickBot="1">
      <c r="A169" s="14"/>
      <c r="B169" s="251" t="s">
        <v>112</v>
      </c>
      <c r="C169" s="252">
        <f>C167+C162+C155+C150</f>
        <v>0</v>
      </c>
      <c r="D169" s="253">
        <f aca="true" t="shared" si="5" ref="D169:J169">D167+D162+D155+D150</f>
        <v>0</v>
      </c>
      <c r="E169" s="253">
        <f t="shared" si="5"/>
        <v>0</v>
      </c>
      <c r="F169" s="253">
        <f t="shared" si="5"/>
        <v>0</v>
      </c>
      <c r="G169" s="253">
        <f t="shared" si="5"/>
        <v>0</v>
      </c>
      <c r="H169" s="253">
        <f t="shared" si="5"/>
        <v>0</v>
      </c>
      <c r="I169" s="253">
        <f t="shared" si="5"/>
        <v>0</v>
      </c>
      <c r="J169" s="253">
        <f t="shared" si="5"/>
        <v>0</v>
      </c>
      <c r="K169" s="253">
        <f>K167+K162+K155+K149</f>
        <v>0</v>
      </c>
      <c r="L169" s="253">
        <f aca="true" t="shared" si="6" ref="L169:R169">L167+L162+L155+L150</f>
        <v>0</v>
      </c>
      <c r="M169" s="253">
        <f t="shared" si="6"/>
        <v>0</v>
      </c>
      <c r="N169" s="253">
        <f t="shared" si="6"/>
        <v>0</v>
      </c>
      <c r="O169" s="253">
        <f t="shared" si="6"/>
        <v>0</v>
      </c>
      <c r="P169" s="253">
        <f t="shared" si="6"/>
        <v>0</v>
      </c>
      <c r="Q169" s="253">
        <f t="shared" si="6"/>
        <v>0</v>
      </c>
      <c r="R169" s="254">
        <f t="shared" si="6"/>
        <v>0</v>
      </c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</row>
    <row r="170" spans="1:28" s="246" customFormat="1" ht="15">
      <c r="A170" s="14"/>
      <c r="B170" s="255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40">
        <f>R169+N169+J169+F169</f>
        <v>0</v>
      </c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</row>
    <row r="171" spans="1:28" s="246" customFormat="1" ht="15.75" thickBot="1">
      <c r="A171" s="14"/>
      <c r="B171" s="141" t="s">
        <v>113</v>
      </c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40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</row>
    <row r="172" spans="1:28" s="246" customFormat="1" ht="15.75" thickBot="1">
      <c r="A172" s="87"/>
      <c r="B172" s="88"/>
      <c r="C172" s="70"/>
      <c r="D172" s="70"/>
      <c r="E172" s="70"/>
      <c r="F172" s="70"/>
      <c r="G172" s="70" t="s">
        <v>114</v>
      </c>
      <c r="H172" s="70"/>
      <c r="I172" s="241"/>
      <c r="J172" s="70"/>
      <c r="K172" s="70"/>
      <c r="L172" s="70"/>
      <c r="M172" s="70"/>
      <c r="N172" s="70"/>
      <c r="O172" s="70"/>
      <c r="P172" s="70"/>
      <c r="Q172" s="70"/>
      <c r="R172" s="72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</row>
    <row r="173" spans="1:28" s="246" customFormat="1" ht="15.75" thickBot="1">
      <c r="A173" s="87"/>
      <c r="B173" s="94" t="s">
        <v>14</v>
      </c>
      <c r="C173" s="149" t="s">
        <v>115</v>
      </c>
      <c r="D173" s="151" t="s">
        <v>115</v>
      </c>
      <c r="E173" s="151" t="s">
        <v>115</v>
      </c>
      <c r="F173" s="151" t="s">
        <v>115</v>
      </c>
      <c r="G173" s="151" t="s">
        <v>115</v>
      </c>
      <c r="H173" s="151" t="s">
        <v>115</v>
      </c>
      <c r="I173" s="151" t="s">
        <v>115</v>
      </c>
      <c r="J173" s="151" t="s">
        <v>115</v>
      </c>
      <c r="K173" s="151" t="s">
        <v>115</v>
      </c>
      <c r="L173" s="151" t="s">
        <v>115</v>
      </c>
      <c r="M173" s="151" t="s">
        <v>115</v>
      </c>
      <c r="N173" s="151" t="s">
        <v>115</v>
      </c>
      <c r="O173" s="151" t="s">
        <v>115</v>
      </c>
      <c r="P173" s="151" t="s">
        <v>115</v>
      </c>
      <c r="Q173" s="151" t="s">
        <v>115</v>
      </c>
      <c r="R173" s="257" t="s">
        <v>115</v>
      </c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</row>
    <row r="174" spans="1:28" s="246" customFormat="1" ht="15.75" thickBot="1">
      <c r="A174" s="87"/>
      <c r="B174" s="119"/>
      <c r="C174" s="149" t="s">
        <v>94</v>
      </c>
      <c r="D174" s="149" t="s">
        <v>95</v>
      </c>
      <c r="E174" s="149" t="s">
        <v>96</v>
      </c>
      <c r="F174" s="150" t="s">
        <v>97</v>
      </c>
      <c r="G174" s="149" t="s">
        <v>98</v>
      </c>
      <c r="H174" s="149" t="s">
        <v>99</v>
      </c>
      <c r="I174" s="149" t="s">
        <v>100</v>
      </c>
      <c r="J174" s="149" t="s">
        <v>101</v>
      </c>
      <c r="K174" s="151" t="s">
        <v>102</v>
      </c>
      <c r="L174" s="149" t="s">
        <v>103</v>
      </c>
      <c r="M174" s="149" t="s">
        <v>104</v>
      </c>
      <c r="N174" s="150" t="s">
        <v>105</v>
      </c>
      <c r="O174" s="149" t="s">
        <v>106</v>
      </c>
      <c r="P174" s="149" t="s">
        <v>107</v>
      </c>
      <c r="Q174" s="149" t="s">
        <v>108</v>
      </c>
      <c r="R174" s="150" t="s">
        <v>109</v>
      </c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</row>
    <row r="175" spans="1:28" s="246" customFormat="1" ht="15.75" thickBot="1">
      <c r="A175" s="101"/>
      <c r="B175" s="258"/>
      <c r="C175" s="245">
        <f>I141/(60-5)*1000*24*31</f>
        <v>0</v>
      </c>
      <c r="D175" s="235">
        <f>I141/(60-5)*1000*24*28</f>
        <v>0</v>
      </c>
      <c r="E175" s="235">
        <f>I141/(60-5)*1000*31*24</f>
        <v>0</v>
      </c>
      <c r="F175" s="237">
        <f>SUM(C175:E175)</f>
        <v>0</v>
      </c>
      <c r="G175" s="234">
        <f>I141/(60-5)*1000*30*24</f>
        <v>0</v>
      </c>
      <c r="H175" s="235">
        <f>I141/(60-5)*1000*14*24+J141/(60-5)*1000*17*24*0</f>
        <v>0</v>
      </c>
      <c r="I175" s="235">
        <f>J141/(60-5)*1000*30*24*0</f>
        <v>0</v>
      </c>
      <c r="J175" s="249">
        <f>SUM(G175:I175)</f>
        <v>0</v>
      </c>
      <c r="K175" s="245">
        <f>J141/(60-5)*1000*24*31*0</f>
        <v>0</v>
      </c>
      <c r="L175" s="235">
        <f>J141/(60-5)*1000*24*31*0</f>
        <v>0</v>
      </c>
      <c r="M175" s="235">
        <f>I141/(60-5)*1000*19*24+J141/(60-5)*1000*11*24*0</f>
        <v>0</v>
      </c>
      <c r="N175" s="237">
        <f>SUM(K175:M175)</f>
        <v>0</v>
      </c>
      <c r="O175" s="234">
        <f>I141/(60-5)*1000*24*31</f>
        <v>0</v>
      </c>
      <c r="P175" s="235">
        <f>I141/(60-5)*1000*24*30</f>
        <v>0</v>
      </c>
      <c r="Q175" s="235">
        <f>I141/(60-5)*1000*24*31</f>
        <v>0</v>
      </c>
      <c r="R175" s="237">
        <f>SUM(O175:Q175)</f>
        <v>0</v>
      </c>
      <c r="S175" s="250"/>
      <c r="T175" s="206"/>
      <c r="U175" s="206"/>
      <c r="V175" s="206"/>
      <c r="W175" s="206"/>
      <c r="X175" s="206"/>
      <c r="Y175" s="206"/>
      <c r="Z175" s="206"/>
      <c r="AA175" s="206"/>
      <c r="AB175" s="206"/>
    </row>
    <row r="176" spans="1:28" s="246" customFormat="1" ht="15.75" thickBot="1">
      <c r="A176" s="87"/>
      <c r="B176" s="182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40">
        <f>R175+N175+J175+F175</f>
        <v>0</v>
      </c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</row>
    <row r="177" spans="1:28" s="246" customFormat="1" ht="15.75" thickBot="1">
      <c r="A177" s="87"/>
      <c r="B177" s="88"/>
      <c r="C177" s="70"/>
      <c r="D177" s="70"/>
      <c r="E177" s="70"/>
      <c r="F177" s="70"/>
      <c r="G177" s="70" t="s">
        <v>116</v>
      </c>
      <c r="H177" s="70"/>
      <c r="I177" s="241"/>
      <c r="J177" s="70"/>
      <c r="K177" s="70"/>
      <c r="L177" s="70"/>
      <c r="M177" s="70"/>
      <c r="N177" s="70"/>
      <c r="O177" s="70"/>
      <c r="P177" s="70"/>
      <c r="Q177" s="70"/>
      <c r="R177" s="72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</row>
    <row r="178" spans="1:28" s="246" customFormat="1" ht="15.75" thickBot="1">
      <c r="A178" s="87"/>
      <c r="B178" s="94" t="s">
        <v>14</v>
      </c>
      <c r="C178" s="149" t="s">
        <v>115</v>
      </c>
      <c r="D178" s="151" t="s">
        <v>115</v>
      </c>
      <c r="E178" s="151" t="s">
        <v>115</v>
      </c>
      <c r="F178" s="151" t="s">
        <v>115</v>
      </c>
      <c r="G178" s="151" t="s">
        <v>115</v>
      </c>
      <c r="H178" s="151" t="s">
        <v>115</v>
      </c>
      <c r="I178" s="151" t="s">
        <v>115</v>
      </c>
      <c r="J178" s="151" t="s">
        <v>115</v>
      </c>
      <c r="K178" s="151" t="s">
        <v>115</v>
      </c>
      <c r="L178" s="151" t="s">
        <v>115</v>
      </c>
      <c r="M178" s="151" t="s">
        <v>115</v>
      </c>
      <c r="N178" s="151" t="s">
        <v>115</v>
      </c>
      <c r="O178" s="151" t="s">
        <v>115</v>
      </c>
      <c r="P178" s="151" t="s">
        <v>115</v>
      </c>
      <c r="Q178" s="151" t="s">
        <v>115</v>
      </c>
      <c r="R178" s="257" t="s">
        <v>115</v>
      </c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</row>
    <row r="179" spans="1:28" s="246" customFormat="1" ht="15.75" thickBot="1">
      <c r="A179" s="87"/>
      <c r="B179" s="119"/>
      <c r="C179" s="149" t="s">
        <v>94</v>
      </c>
      <c r="D179" s="149" t="s">
        <v>95</v>
      </c>
      <c r="E179" s="149" t="s">
        <v>96</v>
      </c>
      <c r="F179" s="150" t="s">
        <v>97</v>
      </c>
      <c r="G179" s="149" t="s">
        <v>98</v>
      </c>
      <c r="H179" s="149" t="s">
        <v>99</v>
      </c>
      <c r="I179" s="149" t="s">
        <v>100</v>
      </c>
      <c r="J179" s="149" t="s">
        <v>101</v>
      </c>
      <c r="K179" s="151" t="s">
        <v>102</v>
      </c>
      <c r="L179" s="149" t="s">
        <v>103</v>
      </c>
      <c r="M179" s="149" t="s">
        <v>104</v>
      </c>
      <c r="N179" s="150" t="s">
        <v>105</v>
      </c>
      <c r="O179" s="149" t="s">
        <v>106</v>
      </c>
      <c r="P179" s="149" t="s">
        <v>107</v>
      </c>
      <c r="Q179" s="149" t="s">
        <v>108</v>
      </c>
      <c r="R179" s="150" t="s">
        <v>109</v>
      </c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</row>
    <row r="180" spans="1:28" s="246" customFormat="1" ht="15.75" thickBot="1">
      <c r="A180" s="259"/>
      <c r="B180" s="258"/>
      <c r="C180" s="245">
        <f>$M117*POWER(10,-3)*$C81*24*31</f>
        <v>0</v>
      </c>
      <c r="D180" s="245">
        <f>$M117*POWER(10,-3)*$C81*24*28</f>
        <v>0</v>
      </c>
      <c r="E180" s="245">
        <f>$M117*POWER(10,-3)*$C81*24*31</f>
        <v>0</v>
      </c>
      <c r="F180" s="237">
        <f>SUM(C180:E180)</f>
        <v>0</v>
      </c>
      <c r="G180" s="245">
        <f>$M117*POWER(10,-3)*$C81*24*30*0</f>
        <v>0</v>
      </c>
      <c r="H180" s="245">
        <f>$M117*POWER(10,-3)*$C81*24*14*0+$N117*POWER(10,-3)*$C81*24*17*0</f>
        <v>0</v>
      </c>
      <c r="I180" s="245">
        <f>$N117*POWER(10,-3)*$C81*24*30*0</f>
        <v>0</v>
      </c>
      <c r="J180" s="249">
        <f>SUM(G180:I180)</f>
        <v>0</v>
      </c>
      <c r="K180" s="245">
        <f>$N117*POWER(10,-3)*$C81*24*31*0</f>
        <v>0</v>
      </c>
      <c r="L180" s="245">
        <f>$N117*POWER(10,-3)*$C81*24*31*0</f>
        <v>0</v>
      </c>
      <c r="M180" s="245">
        <f>$M117*POWER(10,-3)*$C81*24*19*0+$N117*POWER(10,-3)*$C81*24*11*0</f>
        <v>0</v>
      </c>
      <c r="N180" s="237">
        <f>SUM(K180:M180)</f>
        <v>0</v>
      </c>
      <c r="O180" s="245">
        <f>$M117*POWER(10,-3)*$C81*24*31</f>
        <v>0</v>
      </c>
      <c r="P180" s="245">
        <f>$M117*POWER(10,-3)*$C81*24*30</f>
        <v>0</v>
      </c>
      <c r="Q180" s="245">
        <f>$M117*POWER(10,-3)*$C81*24*31</f>
        <v>0</v>
      </c>
      <c r="R180" s="237">
        <f>SUM(O180:Q180)</f>
        <v>0</v>
      </c>
      <c r="S180" s="250"/>
      <c r="T180" s="206"/>
      <c r="U180" s="206"/>
      <c r="V180" s="206"/>
      <c r="W180" s="206"/>
      <c r="X180" s="206"/>
      <c r="Y180" s="206"/>
      <c r="Z180" s="206"/>
      <c r="AA180" s="206"/>
      <c r="AB180" s="206"/>
    </row>
    <row r="181" spans="1:28" s="246" customFormat="1" ht="15">
      <c r="A181" s="87"/>
      <c r="B181" s="182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40">
        <f>R180+N180+J180+F180</f>
        <v>0</v>
      </c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</row>
    <row r="182" spans="1:28" s="246" customFormat="1" ht="15">
      <c r="A182" s="87"/>
      <c r="B182" s="260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56">
        <f>R181+R176</f>
        <v>0</v>
      </c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</row>
    <row r="183" spans="1:28" s="246" customFormat="1" ht="15">
      <c r="A183" s="87"/>
      <c r="B183" s="260" t="s">
        <v>117</v>
      </c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</row>
    <row r="184" spans="1:28" s="246" customFormat="1" ht="15">
      <c r="A184" s="76">
        <v>1</v>
      </c>
      <c r="B184" s="141" t="s">
        <v>118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40"/>
      <c r="P184" s="240"/>
      <c r="Q184" s="240"/>
      <c r="R184" s="189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</row>
    <row r="185" spans="1:28" s="246" customFormat="1" ht="15">
      <c r="A185" s="76">
        <v>2</v>
      </c>
      <c r="B185" s="141" t="s">
        <v>119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</row>
    <row r="186" spans="1:28" s="246" customFormat="1" ht="15">
      <c r="A186" s="76">
        <v>3</v>
      </c>
      <c r="B186" s="41" t="s">
        <v>120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</row>
    <row r="187" spans="1:28" s="246" customFormat="1" ht="15">
      <c r="A187" s="76">
        <v>4</v>
      </c>
      <c r="B187" s="41" t="s">
        <v>121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</row>
    <row r="188" spans="1:28" s="246" customFormat="1" ht="15">
      <c r="A188" s="76">
        <v>5</v>
      </c>
      <c r="B188" s="41" t="s">
        <v>321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</row>
    <row r="189" spans="1:28" s="246" customFormat="1" ht="15">
      <c r="A189" s="41"/>
      <c r="B189" s="41" t="s">
        <v>122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</row>
    <row r="190" spans="1:28" s="246" customFormat="1" ht="15">
      <c r="A190" s="76">
        <v>6</v>
      </c>
      <c r="B190" s="141" t="s">
        <v>123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  <row r="191" spans="1:28" s="246" customFormat="1" ht="15">
      <c r="A191" s="76"/>
      <c r="B191" s="141" t="s">
        <v>124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</row>
    <row r="192" spans="1:28" s="246" customFormat="1" ht="15">
      <c r="A192" s="76">
        <v>7</v>
      </c>
      <c r="B192" s="41" t="s">
        <v>125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</row>
    <row r="193" spans="1:28" s="246" customFormat="1" ht="15">
      <c r="A193" s="76">
        <v>8</v>
      </c>
      <c r="B193" s="41" t="s">
        <v>126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</row>
    <row r="194" spans="1:28" s="246" customFormat="1" ht="15">
      <c r="A194" s="76">
        <v>9</v>
      </c>
      <c r="B194" s="41" t="s">
        <v>127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</row>
    <row r="195" spans="1:28" s="246" customFormat="1" ht="15">
      <c r="A195" s="76">
        <v>10</v>
      </c>
      <c r="B195" s="41" t="s">
        <v>128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</row>
    <row r="196" spans="1:28" s="246" customFormat="1" ht="15">
      <c r="A196" s="76">
        <v>11</v>
      </c>
      <c r="B196" s="41" t="s">
        <v>129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</row>
    <row r="197" spans="1:28" s="246" customFormat="1" ht="15">
      <c r="A197" s="76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</row>
    <row r="198" spans="1:28" s="246" customFormat="1" ht="1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</row>
    <row r="199" spans="1:28" s="246" customFormat="1" ht="15">
      <c r="A199" s="281" t="s">
        <v>167</v>
      </c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41"/>
      <c r="R199" s="41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</row>
    <row r="200" spans="1:28" s="246" customFormat="1" ht="15">
      <c r="A200" s="281" t="s">
        <v>168</v>
      </c>
      <c r="B200" s="281"/>
      <c r="C200" s="281"/>
      <c r="D200" s="281"/>
      <c r="E200" s="281"/>
      <c r="F200" s="281"/>
      <c r="G200" s="75"/>
      <c r="H200" s="75"/>
      <c r="I200" s="75"/>
      <c r="J200" s="75"/>
      <c r="K200" s="41"/>
      <c r="L200" s="41"/>
      <c r="M200" s="41"/>
      <c r="N200" s="41"/>
      <c r="O200" s="41"/>
      <c r="P200" s="41"/>
      <c r="Q200" s="41"/>
      <c r="R200" s="41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</row>
    <row r="201" spans="1:28" s="246" customFormat="1" ht="15">
      <c r="A201" s="76"/>
      <c r="B201" s="75"/>
      <c r="C201" s="75"/>
      <c r="D201" s="75"/>
      <c r="E201" s="75"/>
      <c r="F201" s="76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</row>
    <row r="202" spans="1:28" s="246" customFormat="1" ht="15">
      <c r="A202" s="74" t="s">
        <v>169</v>
      </c>
      <c r="B202" s="75"/>
      <c r="C202" s="75"/>
      <c r="D202" s="75"/>
      <c r="E202" s="75"/>
      <c r="F202" s="76"/>
      <c r="G202" s="41"/>
      <c r="H202" s="74"/>
      <c r="I202" s="74" t="s">
        <v>170</v>
      </c>
      <c r="J202" s="41"/>
      <c r="K202" s="74"/>
      <c r="L202" s="74"/>
      <c r="M202" s="41"/>
      <c r="N202" s="74"/>
      <c r="O202" s="41"/>
      <c r="P202" s="41"/>
      <c r="Q202" s="41"/>
      <c r="R202" s="41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</row>
    <row r="203" spans="1:28" s="246" customFormat="1" ht="15">
      <c r="A203" s="76"/>
      <c r="B203" s="75"/>
      <c r="C203" s="75"/>
      <c r="D203" s="75"/>
      <c r="E203" s="75"/>
      <c r="F203" s="76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</row>
    <row r="204" spans="1:14" ht="15">
      <c r="A204" s="74" t="s">
        <v>171</v>
      </c>
      <c r="B204" s="76"/>
      <c r="C204" s="76"/>
      <c r="D204" s="76"/>
      <c r="E204" s="74"/>
      <c r="F204" s="76"/>
      <c r="G204" s="74"/>
      <c r="H204" s="74"/>
      <c r="I204" s="74" t="s">
        <v>172</v>
      </c>
      <c r="K204" s="74"/>
      <c r="L204" s="74"/>
      <c r="N204" s="74"/>
    </row>
    <row r="205" spans="1:28" s="246" customFormat="1" ht="15">
      <c r="A205" s="74" t="s">
        <v>173</v>
      </c>
      <c r="B205" s="76"/>
      <c r="C205" s="76"/>
      <c r="D205" s="76"/>
      <c r="E205" s="76"/>
      <c r="F205" s="76"/>
      <c r="G205" s="41"/>
      <c r="H205" s="74"/>
      <c r="I205" s="74" t="s">
        <v>173</v>
      </c>
      <c r="J205" s="41"/>
      <c r="K205" s="74"/>
      <c r="L205" s="74"/>
      <c r="M205" s="41"/>
      <c r="N205" s="74"/>
      <c r="O205" s="41"/>
      <c r="P205" s="41"/>
      <c r="Q205" s="261"/>
      <c r="R205" s="262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</row>
    <row r="206" spans="1:28" s="246" customFormat="1" ht="15">
      <c r="A206" s="76"/>
      <c r="B206" s="76"/>
      <c r="C206" s="76"/>
      <c r="D206" s="76"/>
      <c r="E206" s="74"/>
      <c r="F206" s="76"/>
      <c r="G206" s="74"/>
      <c r="H206" s="41"/>
      <c r="I206" s="41"/>
      <c r="J206" s="41"/>
      <c r="K206" s="41"/>
      <c r="L206" s="41"/>
      <c r="M206" s="41"/>
      <c r="N206" s="41"/>
      <c r="O206" s="41"/>
      <c r="P206" s="41"/>
      <c r="Q206" s="261"/>
      <c r="R206" s="262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</row>
    <row r="207" spans="1:28" s="246" customFormat="1" ht="15">
      <c r="A207" s="74" t="s">
        <v>174</v>
      </c>
      <c r="B207" s="76"/>
      <c r="C207" s="76"/>
      <c r="D207" s="76"/>
      <c r="E207" s="76"/>
      <c r="F207" s="76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261"/>
      <c r="R207" s="262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</row>
    <row r="208" spans="1:28" s="246" customFormat="1" ht="15">
      <c r="A208" s="74" t="s">
        <v>175</v>
      </c>
      <c r="B208" s="76"/>
      <c r="C208" s="76"/>
      <c r="D208" s="76"/>
      <c r="E208" s="76"/>
      <c r="F208" s="76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261"/>
      <c r="R208" s="262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</row>
    <row r="209" spans="1:28" s="246" customFormat="1" ht="15">
      <c r="A209" s="74" t="s">
        <v>176</v>
      </c>
      <c r="B209" s="76"/>
      <c r="C209" s="76"/>
      <c r="D209" s="76"/>
      <c r="E209" s="76"/>
      <c r="F209" s="76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261"/>
      <c r="R209" s="262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</row>
    <row r="210" spans="1:28" s="246" customFormat="1" ht="15">
      <c r="A210" s="74" t="s">
        <v>175</v>
      </c>
      <c r="B210" s="76"/>
      <c r="C210" s="76"/>
      <c r="D210" s="76"/>
      <c r="E210" s="76"/>
      <c r="F210" s="76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261"/>
      <c r="R210" s="262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</row>
    <row r="211" spans="1:28" s="246" customFormat="1" ht="15">
      <c r="A211" s="263"/>
      <c r="B211" s="264"/>
      <c r="C211" s="261"/>
      <c r="D211" s="261"/>
      <c r="E211" s="261"/>
      <c r="F211" s="262"/>
      <c r="G211" s="261"/>
      <c r="H211" s="261"/>
      <c r="I211" s="261"/>
      <c r="J211" s="262"/>
      <c r="K211" s="261"/>
      <c r="L211" s="261"/>
      <c r="M211" s="261"/>
      <c r="N211" s="262"/>
      <c r="O211" s="261"/>
      <c r="P211" s="261"/>
      <c r="Q211" s="261"/>
      <c r="R211" s="262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</row>
    <row r="212" spans="1:28" s="246" customFormat="1" ht="15">
      <c r="A212" s="263"/>
      <c r="B212" s="264"/>
      <c r="C212" s="261"/>
      <c r="D212" s="261"/>
      <c r="E212" s="261"/>
      <c r="F212" s="262"/>
      <c r="G212" s="261"/>
      <c r="H212" s="261"/>
      <c r="I212" s="261"/>
      <c r="J212" s="262"/>
      <c r="K212" s="261"/>
      <c r="L212" s="261"/>
      <c r="M212" s="261"/>
      <c r="N212" s="262"/>
      <c r="O212" s="261"/>
      <c r="P212" s="261"/>
      <c r="Q212" s="261"/>
      <c r="R212" s="262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</row>
    <row r="213" spans="1:28" s="246" customFormat="1" ht="15">
      <c r="A213" s="263"/>
      <c r="B213" s="264"/>
      <c r="C213" s="261"/>
      <c r="D213" s="261"/>
      <c r="E213" s="261"/>
      <c r="F213" s="262"/>
      <c r="G213" s="261"/>
      <c r="H213" s="261"/>
      <c r="I213" s="261"/>
      <c r="J213" s="262"/>
      <c r="K213" s="261"/>
      <c r="L213" s="261"/>
      <c r="M213" s="261"/>
      <c r="N213" s="262"/>
      <c r="O213" s="261"/>
      <c r="P213" s="261"/>
      <c r="Q213" s="261"/>
      <c r="R213" s="262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</row>
    <row r="214" spans="1:28" s="246" customFormat="1" ht="15">
      <c r="A214" s="263"/>
      <c r="B214" s="264"/>
      <c r="C214" s="261"/>
      <c r="D214" s="261"/>
      <c r="E214" s="261"/>
      <c r="F214" s="262"/>
      <c r="G214" s="261"/>
      <c r="H214" s="261"/>
      <c r="I214" s="261"/>
      <c r="J214" s="262"/>
      <c r="K214" s="261"/>
      <c r="L214" s="261"/>
      <c r="M214" s="261"/>
      <c r="N214" s="262"/>
      <c r="O214" s="261"/>
      <c r="P214" s="261"/>
      <c r="Q214" s="261"/>
      <c r="R214" s="262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</row>
    <row r="215" spans="1:28" s="246" customFormat="1" ht="15">
      <c r="A215" s="263"/>
      <c r="B215" s="264"/>
      <c r="C215" s="261"/>
      <c r="D215" s="261"/>
      <c r="E215" s="261"/>
      <c r="F215" s="262"/>
      <c r="G215" s="261"/>
      <c r="H215" s="261"/>
      <c r="I215" s="261"/>
      <c r="J215" s="262"/>
      <c r="K215" s="261"/>
      <c r="L215" s="261"/>
      <c r="M215" s="261"/>
      <c r="N215" s="262"/>
      <c r="O215" s="261"/>
      <c r="P215" s="261"/>
      <c r="Q215" s="261"/>
      <c r="R215" s="262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</row>
    <row r="216" spans="1:28" s="246" customFormat="1" ht="15">
      <c r="A216" s="263"/>
      <c r="B216" s="264"/>
      <c r="C216" s="261"/>
      <c r="D216" s="261"/>
      <c r="E216" s="261"/>
      <c r="F216" s="262"/>
      <c r="G216" s="261"/>
      <c r="H216" s="261"/>
      <c r="I216" s="261"/>
      <c r="J216" s="262"/>
      <c r="K216" s="261"/>
      <c r="L216" s="261"/>
      <c r="M216" s="261"/>
      <c r="N216" s="262"/>
      <c r="O216" s="261"/>
      <c r="P216" s="261"/>
      <c r="Q216" s="261"/>
      <c r="R216" s="262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</row>
    <row r="217" spans="1:28" s="246" customFormat="1" ht="15">
      <c r="A217" s="263"/>
      <c r="B217" s="264"/>
      <c r="C217" s="261"/>
      <c r="D217" s="261"/>
      <c r="E217" s="261"/>
      <c r="F217" s="262"/>
      <c r="G217" s="261"/>
      <c r="H217" s="261"/>
      <c r="I217" s="261"/>
      <c r="J217" s="262"/>
      <c r="K217" s="261"/>
      <c r="L217" s="261"/>
      <c r="M217" s="261"/>
      <c r="N217" s="262"/>
      <c r="O217" s="261"/>
      <c r="P217" s="261"/>
      <c r="Q217" s="261"/>
      <c r="R217" s="262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</row>
    <row r="218" spans="1:28" s="246" customFormat="1" ht="15">
      <c r="A218" s="263"/>
      <c r="B218" s="264"/>
      <c r="C218" s="261"/>
      <c r="D218" s="261"/>
      <c r="E218" s="261"/>
      <c r="F218" s="262"/>
      <c r="G218" s="261"/>
      <c r="H218" s="261"/>
      <c r="I218" s="261"/>
      <c r="J218" s="262"/>
      <c r="K218" s="261"/>
      <c r="L218" s="261"/>
      <c r="M218" s="261"/>
      <c r="N218" s="262"/>
      <c r="O218" s="261"/>
      <c r="P218" s="261"/>
      <c r="Q218" s="261"/>
      <c r="R218" s="262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</row>
    <row r="219" spans="1:28" s="246" customFormat="1" ht="15">
      <c r="A219" s="263"/>
      <c r="B219" s="264"/>
      <c r="C219" s="261"/>
      <c r="D219" s="261"/>
      <c r="E219" s="261"/>
      <c r="F219" s="262"/>
      <c r="G219" s="261"/>
      <c r="H219" s="261"/>
      <c r="I219" s="261"/>
      <c r="J219" s="262"/>
      <c r="K219" s="261"/>
      <c r="L219" s="261"/>
      <c r="M219" s="261"/>
      <c r="N219" s="262"/>
      <c r="O219" s="261"/>
      <c r="P219" s="261"/>
      <c r="Q219" s="261"/>
      <c r="R219" s="262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</row>
    <row r="220" spans="1:28" s="246" customFormat="1" ht="15">
      <c r="A220" s="263"/>
      <c r="B220" s="264"/>
      <c r="C220" s="261"/>
      <c r="D220" s="261"/>
      <c r="E220" s="261"/>
      <c r="F220" s="262"/>
      <c r="G220" s="261"/>
      <c r="H220" s="261"/>
      <c r="I220" s="261"/>
      <c r="J220" s="262"/>
      <c r="K220" s="261"/>
      <c r="L220" s="261"/>
      <c r="M220" s="261"/>
      <c r="N220" s="262"/>
      <c r="O220" s="261"/>
      <c r="P220" s="261"/>
      <c r="Q220" s="261"/>
      <c r="R220" s="262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</row>
    <row r="221" spans="1:28" s="246" customFormat="1" ht="15">
      <c r="A221" s="263"/>
      <c r="B221" s="264"/>
      <c r="C221" s="261"/>
      <c r="D221" s="261"/>
      <c r="E221" s="261"/>
      <c r="F221" s="262"/>
      <c r="G221" s="261"/>
      <c r="H221" s="261"/>
      <c r="I221" s="261"/>
      <c r="J221" s="262"/>
      <c r="K221" s="261"/>
      <c r="L221" s="261"/>
      <c r="M221" s="261"/>
      <c r="N221" s="262"/>
      <c r="O221" s="261"/>
      <c r="P221" s="261"/>
      <c r="Q221" s="261"/>
      <c r="R221" s="262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</row>
    <row r="222" spans="1:28" s="246" customFormat="1" ht="15">
      <c r="A222" s="263"/>
      <c r="B222" s="264"/>
      <c r="C222" s="261"/>
      <c r="D222" s="261"/>
      <c r="E222" s="261"/>
      <c r="F222" s="262"/>
      <c r="G222" s="261"/>
      <c r="H222" s="261"/>
      <c r="I222" s="261"/>
      <c r="J222" s="262"/>
      <c r="K222" s="261"/>
      <c r="L222" s="261"/>
      <c r="M222" s="261"/>
      <c r="N222" s="262"/>
      <c r="O222" s="261"/>
      <c r="P222" s="261"/>
      <c r="Q222" s="261"/>
      <c r="R222" s="262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</row>
    <row r="223" spans="1:28" s="246" customFormat="1" ht="15">
      <c r="A223" s="263"/>
      <c r="B223" s="264"/>
      <c r="C223" s="261"/>
      <c r="D223" s="261"/>
      <c r="E223" s="261"/>
      <c r="F223" s="262"/>
      <c r="G223" s="261"/>
      <c r="H223" s="261"/>
      <c r="I223" s="261"/>
      <c r="J223" s="262"/>
      <c r="K223" s="261"/>
      <c r="L223" s="261"/>
      <c r="M223" s="261"/>
      <c r="N223" s="262"/>
      <c r="O223" s="261"/>
      <c r="P223" s="261"/>
      <c r="Q223" s="261"/>
      <c r="R223" s="262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</row>
    <row r="224" spans="1:28" s="246" customFormat="1" ht="15">
      <c r="A224" s="263"/>
      <c r="B224" s="264"/>
      <c r="C224" s="261"/>
      <c r="D224" s="261"/>
      <c r="E224" s="261"/>
      <c r="F224" s="262"/>
      <c r="G224" s="261"/>
      <c r="H224" s="261"/>
      <c r="I224" s="261"/>
      <c r="J224" s="262"/>
      <c r="K224" s="261"/>
      <c r="L224" s="261"/>
      <c r="M224" s="261"/>
      <c r="N224" s="262"/>
      <c r="O224" s="261"/>
      <c r="P224" s="261"/>
      <c r="Q224" s="261"/>
      <c r="R224" s="262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</row>
    <row r="225" spans="1:28" s="246" customFormat="1" ht="15">
      <c r="A225" s="263"/>
      <c r="B225" s="264"/>
      <c r="C225" s="261"/>
      <c r="D225" s="261"/>
      <c r="E225" s="261"/>
      <c r="F225" s="262"/>
      <c r="G225" s="261"/>
      <c r="H225" s="261"/>
      <c r="I225" s="261"/>
      <c r="J225" s="262"/>
      <c r="K225" s="261"/>
      <c r="L225" s="261"/>
      <c r="M225" s="261"/>
      <c r="N225" s="262"/>
      <c r="O225" s="261"/>
      <c r="P225" s="261"/>
      <c r="Q225" s="261"/>
      <c r="R225" s="262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</row>
    <row r="226" spans="1:28" s="246" customFormat="1" ht="15">
      <c r="A226" s="263"/>
      <c r="B226" s="264"/>
      <c r="C226" s="261"/>
      <c r="D226" s="261"/>
      <c r="E226" s="261"/>
      <c r="F226" s="262"/>
      <c r="G226" s="261"/>
      <c r="H226" s="261"/>
      <c r="I226" s="261"/>
      <c r="J226" s="262"/>
      <c r="K226" s="261"/>
      <c r="L226" s="261"/>
      <c r="M226" s="261"/>
      <c r="N226" s="262"/>
      <c r="O226" s="261"/>
      <c r="P226" s="261"/>
      <c r="Q226" s="261"/>
      <c r="R226" s="262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</row>
    <row r="227" spans="1:28" s="246" customFormat="1" ht="15">
      <c r="A227" s="263"/>
      <c r="B227" s="264"/>
      <c r="C227" s="261"/>
      <c r="D227" s="261"/>
      <c r="E227" s="261"/>
      <c r="F227" s="262"/>
      <c r="G227" s="261"/>
      <c r="H227" s="261"/>
      <c r="I227" s="261"/>
      <c r="J227" s="262"/>
      <c r="K227" s="261"/>
      <c r="L227" s="261"/>
      <c r="M227" s="261"/>
      <c r="N227" s="262"/>
      <c r="O227" s="261"/>
      <c r="P227" s="261"/>
      <c r="Q227" s="261"/>
      <c r="R227" s="262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</row>
    <row r="228" spans="1:28" s="246" customFormat="1" ht="15">
      <c r="A228" s="263"/>
      <c r="B228" s="264"/>
      <c r="C228" s="261"/>
      <c r="D228" s="261"/>
      <c r="E228" s="261"/>
      <c r="F228" s="262"/>
      <c r="G228" s="261"/>
      <c r="H228" s="261"/>
      <c r="I228" s="261"/>
      <c r="J228" s="262"/>
      <c r="K228" s="261"/>
      <c r="L228" s="261"/>
      <c r="M228" s="261"/>
      <c r="N228" s="262"/>
      <c r="O228" s="261"/>
      <c r="P228" s="261"/>
      <c r="Q228" s="261"/>
      <c r="R228" s="262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</row>
    <row r="229" spans="1:28" s="246" customFormat="1" ht="15">
      <c r="A229" s="263"/>
      <c r="B229" s="264"/>
      <c r="C229" s="261"/>
      <c r="D229" s="261"/>
      <c r="E229" s="261"/>
      <c r="F229" s="262"/>
      <c r="G229" s="261"/>
      <c r="H229" s="261"/>
      <c r="I229" s="261"/>
      <c r="J229" s="262"/>
      <c r="K229" s="261"/>
      <c r="L229" s="261"/>
      <c r="M229" s="261"/>
      <c r="N229" s="262"/>
      <c r="O229" s="261"/>
      <c r="P229" s="261"/>
      <c r="Q229" s="261"/>
      <c r="R229" s="262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</row>
    <row r="230" spans="1:28" s="246" customFormat="1" ht="15">
      <c r="A230" s="263"/>
      <c r="B230" s="264"/>
      <c r="C230" s="261"/>
      <c r="D230" s="261"/>
      <c r="E230" s="261"/>
      <c r="F230" s="262"/>
      <c r="G230" s="261"/>
      <c r="H230" s="261"/>
      <c r="I230" s="261"/>
      <c r="J230" s="262"/>
      <c r="K230" s="261"/>
      <c r="L230" s="261"/>
      <c r="M230" s="261"/>
      <c r="N230" s="262"/>
      <c r="O230" s="261"/>
      <c r="P230" s="261"/>
      <c r="Q230" s="261"/>
      <c r="R230" s="262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</row>
    <row r="231" spans="1:28" s="246" customFormat="1" ht="15">
      <c r="A231" s="263"/>
      <c r="B231" s="264"/>
      <c r="C231" s="261"/>
      <c r="D231" s="261"/>
      <c r="E231" s="261"/>
      <c r="F231" s="262"/>
      <c r="G231" s="261"/>
      <c r="H231" s="261"/>
      <c r="I231" s="261"/>
      <c r="J231" s="262"/>
      <c r="K231" s="261"/>
      <c r="L231" s="261"/>
      <c r="M231" s="261"/>
      <c r="N231" s="262"/>
      <c r="O231" s="261"/>
      <c r="P231" s="261"/>
      <c r="Q231" s="261"/>
      <c r="R231" s="262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</row>
    <row r="232" spans="1:28" s="246" customFormat="1" ht="15">
      <c r="A232" s="263"/>
      <c r="B232" s="264"/>
      <c r="C232" s="261"/>
      <c r="D232" s="261"/>
      <c r="E232" s="261"/>
      <c r="F232" s="262"/>
      <c r="G232" s="261"/>
      <c r="H232" s="261"/>
      <c r="I232" s="261"/>
      <c r="J232" s="262"/>
      <c r="K232" s="261"/>
      <c r="L232" s="261"/>
      <c r="M232" s="261"/>
      <c r="N232" s="262"/>
      <c r="O232" s="261"/>
      <c r="P232" s="261"/>
      <c r="Q232" s="261"/>
      <c r="R232" s="262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</row>
    <row r="233" spans="1:28" s="246" customFormat="1" ht="15">
      <c r="A233" s="263"/>
      <c r="B233" s="264"/>
      <c r="C233" s="261"/>
      <c r="D233" s="261"/>
      <c r="E233" s="261"/>
      <c r="F233" s="262"/>
      <c r="G233" s="261"/>
      <c r="H233" s="261"/>
      <c r="I233" s="261"/>
      <c r="J233" s="262"/>
      <c r="K233" s="261"/>
      <c r="L233" s="261"/>
      <c r="M233" s="261"/>
      <c r="N233" s="262"/>
      <c r="O233" s="261"/>
      <c r="P233" s="261"/>
      <c r="Q233" s="261"/>
      <c r="R233" s="262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</row>
    <row r="234" spans="1:28" s="246" customFormat="1" ht="15">
      <c r="A234" s="263"/>
      <c r="B234" s="264"/>
      <c r="C234" s="261"/>
      <c r="D234" s="261"/>
      <c r="E234" s="261"/>
      <c r="F234" s="262"/>
      <c r="G234" s="261"/>
      <c r="H234" s="261"/>
      <c r="I234" s="261"/>
      <c r="J234" s="262"/>
      <c r="K234" s="261"/>
      <c r="L234" s="261"/>
      <c r="M234" s="261"/>
      <c r="N234" s="262"/>
      <c r="O234" s="261"/>
      <c r="P234" s="261"/>
      <c r="Q234" s="261"/>
      <c r="R234" s="262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</row>
    <row r="235" spans="1:28" s="246" customFormat="1" ht="15">
      <c r="A235" s="263"/>
      <c r="B235" s="264"/>
      <c r="C235" s="261"/>
      <c r="D235" s="261"/>
      <c r="E235" s="261"/>
      <c r="F235" s="262"/>
      <c r="G235" s="261"/>
      <c r="H235" s="261"/>
      <c r="I235" s="261"/>
      <c r="J235" s="262"/>
      <c r="K235" s="261"/>
      <c r="L235" s="261"/>
      <c r="M235" s="261"/>
      <c r="N235" s="262"/>
      <c r="O235" s="261"/>
      <c r="P235" s="261"/>
      <c r="Q235" s="261"/>
      <c r="R235" s="262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</row>
    <row r="236" spans="1:28" s="246" customFormat="1" ht="15">
      <c r="A236" s="263"/>
      <c r="B236" s="264"/>
      <c r="C236" s="261"/>
      <c r="D236" s="261"/>
      <c r="E236" s="261"/>
      <c r="F236" s="262"/>
      <c r="G236" s="261"/>
      <c r="H236" s="261"/>
      <c r="I236" s="261"/>
      <c r="J236" s="262"/>
      <c r="K236" s="261"/>
      <c r="L236" s="261"/>
      <c r="M236" s="261"/>
      <c r="N236" s="262"/>
      <c r="O236" s="261"/>
      <c r="P236" s="261"/>
      <c r="Q236" s="261"/>
      <c r="R236" s="262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</row>
    <row r="237" spans="1:28" s="246" customFormat="1" ht="15">
      <c r="A237" s="263"/>
      <c r="B237" s="264"/>
      <c r="C237" s="261"/>
      <c r="D237" s="261"/>
      <c r="E237" s="261"/>
      <c r="F237" s="262"/>
      <c r="G237" s="261"/>
      <c r="H237" s="261"/>
      <c r="I237" s="261"/>
      <c r="J237" s="262"/>
      <c r="K237" s="261"/>
      <c r="L237" s="261"/>
      <c r="M237" s="261"/>
      <c r="N237" s="262"/>
      <c r="O237" s="261"/>
      <c r="P237" s="261"/>
      <c r="Q237" s="261"/>
      <c r="R237" s="262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</row>
  </sheetData>
  <mergeCells count="8">
    <mergeCell ref="A199:P199"/>
    <mergeCell ref="A200:F200"/>
    <mergeCell ref="N138:O138"/>
    <mergeCell ref="S112:T112"/>
    <mergeCell ref="J1:R1"/>
    <mergeCell ref="J2:R2"/>
    <mergeCell ref="J3:R3"/>
    <mergeCell ref="A7:O8"/>
  </mergeCells>
  <printOptions/>
  <pageMargins left="0.64" right="0.17" top="0.47" bottom="0.38" header="0.48" footer="0.34"/>
  <pageSetup fitToHeight="6" horizontalDpi="2400" verticalDpi="2400" orientation="landscape" paperSize="9" scale="62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S31"/>
  <sheetViews>
    <sheetView tabSelected="1" view="pageBreakPreview" zoomScaleSheetLayoutView="100" workbookViewId="0" topLeftCell="A1">
      <selection activeCell="P14" sqref="P14:P16"/>
    </sheetView>
  </sheetViews>
  <sheetFormatPr defaultColWidth="9.00390625" defaultRowHeight="12.75"/>
  <cols>
    <col min="3" max="3" width="12.25390625" style="0" customWidth="1"/>
    <col min="4" max="4" width="10.125" style="0" customWidth="1"/>
    <col min="5" max="5" width="8.375" style="0" customWidth="1"/>
    <col min="6" max="6" width="9.25390625" style="0" customWidth="1"/>
    <col min="7" max="7" width="9.00390625" style="0" customWidth="1"/>
    <col min="9" max="9" width="9.25390625" style="0" customWidth="1"/>
    <col min="10" max="10" width="8.375" style="0" customWidth="1"/>
    <col min="11" max="11" width="9.875" style="0" customWidth="1"/>
    <col min="12" max="12" width="9.00390625" style="0" customWidth="1"/>
    <col min="13" max="13" width="8.875" style="0" customWidth="1"/>
    <col min="14" max="14" width="8.75390625" style="0" customWidth="1"/>
    <col min="15" max="15" width="9.375" style="0" customWidth="1"/>
    <col min="16" max="16" width="9.25390625" style="0" customWidth="1"/>
  </cols>
  <sheetData>
    <row r="1" spans="1:16" ht="12.75">
      <c r="A1" s="9"/>
      <c r="B1" s="77"/>
      <c r="C1" s="77"/>
      <c r="D1" s="77"/>
      <c r="E1" s="77"/>
      <c r="F1" s="77"/>
      <c r="G1" s="77"/>
      <c r="H1" s="315" t="s">
        <v>162</v>
      </c>
      <c r="I1" s="315"/>
      <c r="J1" s="315"/>
      <c r="K1" s="315"/>
      <c r="L1" s="315"/>
      <c r="M1" s="315"/>
      <c r="N1" s="315"/>
      <c r="O1" s="315"/>
      <c r="P1" s="315"/>
    </row>
    <row r="2" spans="1:16" ht="18.75" customHeight="1">
      <c r="A2" s="77"/>
      <c r="B2" s="77"/>
      <c r="C2" s="77"/>
      <c r="D2" s="77"/>
      <c r="E2" s="77"/>
      <c r="F2" s="77"/>
      <c r="G2" s="77"/>
      <c r="H2" s="315" t="s">
        <v>163</v>
      </c>
      <c r="I2" s="315"/>
      <c r="J2" s="315"/>
      <c r="K2" s="315"/>
      <c r="L2" s="315"/>
      <c r="M2" s="315"/>
      <c r="N2" s="315"/>
      <c r="O2" s="315"/>
      <c r="P2" s="315"/>
    </row>
    <row r="3" spans="1:19" s="3" customFormat="1" ht="12.75">
      <c r="A3" s="2"/>
      <c r="B3" s="2"/>
      <c r="C3" s="2"/>
      <c r="D3" s="13"/>
      <c r="E3" s="13"/>
      <c r="F3" s="13"/>
      <c r="G3" s="13"/>
      <c r="H3" s="315" t="s">
        <v>164</v>
      </c>
      <c r="I3" s="315"/>
      <c r="J3" s="315"/>
      <c r="K3" s="315"/>
      <c r="L3" s="315"/>
      <c r="M3" s="315"/>
      <c r="N3" s="315"/>
      <c r="O3" s="315"/>
      <c r="P3" s="315"/>
      <c r="Q3" s="2"/>
      <c r="R3" s="2"/>
      <c r="S3" s="2"/>
    </row>
    <row r="4" spans="1:19" s="3" customFormat="1" ht="12.75">
      <c r="A4" s="2"/>
      <c r="B4" s="2"/>
      <c r="C4" s="2"/>
      <c r="D4" s="13"/>
      <c r="E4" s="13"/>
      <c r="F4" s="13"/>
      <c r="G4" s="13"/>
      <c r="H4" s="63"/>
      <c r="I4" s="63"/>
      <c r="J4" s="63"/>
      <c r="K4" s="63"/>
      <c r="L4" s="63"/>
      <c r="M4" s="63"/>
      <c r="N4" s="63"/>
      <c r="O4" s="63"/>
      <c r="P4" s="63"/>
      <c r="Q4" s="2"/>
      <c r="R4" s="2"/>
      <c r="S4" s="2"/>
    </row>
    <row r="5" spans="2:18" s="3" customFormat="1" ht="12.75">
      <c r="B5" s="2"/>
      <c r="C5" s="316" t="s">
        <v>326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2"/>
      <c r="Q5" s="2"/>
      <c r="R5" s="2"/>
    </row>
    <row r="6" spans="1:16" ht="18.75" customHeight="1">
      <c r="A6" s="308" t="s">
        <v>328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77"/>
    </row>
    <row r="7" spans="1:16" s="4" customFormat="1" ht="31.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"/>
    </row>
    <row r="8" spans="1:16" ht="1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9.5" customHeight="1" thickBot="1">
      <c r="A9" s="77"/>
      <c r="B9" s="77"/>
      <c r="C9" s="77"/>
      <c r="D9" s="77"/>
      <c r="E9" s="77"/>
      <c r="F9" s="77"/>
      <c r="G9" s="77"/>
      <c r="H9" s="77"/>
      <c r="I9" s="77"/>
      <c r="J9" s="12"/>
      <c r="K9" s="78"/>
      <c r="L9" s="78"/>
      <c r="M9" s="78"/>
      <c r="N9" s="78"/>
      <c r="O9" s="78"/>
      <c r="P9" s="78"/>
    </row>
    <row r="10" spans="1:19" s="8" customFormat="1" ht="12.75" customHeight="1">
      <c r="A10" s="309" t="s">
        <v>325</v>
      </c>
      <c r="B10" s="310"/>
      <c r="C10" s="311"/>
      <c r="D10" s="309" t="s">
        <v>323</v>
      </c>
      <c r="E10" s="310"/>
      <c r="F10" s="311"/>
      <c r="G10" s="309" t="s">
        <v>324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66"/>
    </row>
    <row r="11" spans="1:19" s="8" customFormat="1" ht="12.75" customHeight="1" thickBot="1">
      <c r="A11" s="312"/>
      <c r="B11" s="313"/>
      <c r="C11" s="314"/>
      <c r="D11" s="312"/>
      <c r="E11" s="313"/>
      <c r="F11" s="314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4"/>
      <c r="S11" s="266"/>
    </row>
    <row r="12" spans="1:16" ht="3" customHeight="1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8" s="1" customFormat="1" ht="13.5" thickBot="1">
      <c r="A13" s="42"/>
      <c r="B13" s="17"/>
      <c r="C13" s="17"/>
      <c r="D13" s="267" t="s">
        <v>106</v>
      </c>
      <c r="E13" s="27" t="s">
        <v>107</v>
      </c>
      <c r="F13" s="27" t="s">
        <v>108</v>
      </c>
      <c r="G13" s="27" t="s">
        <v>94</v>
      </c>
      <c r="H13" s="27" t="s">
        <v>95</v>
      </c>
      <c r="I13" s="27" t="s">
        <v>322</v>
      </c>
      <c r="J13" s="27" t="s">
        <v>98</v>
      </c>
      <c r="K13" s="27" t="s">
        <v>99</v>
      </c>
      <c r="L13" s="27" t="s">
        <v>100</v>
      </c>
      <c r="M13" s="27" t="s">
        <v>102</v>
      </c>
      <c r="N13" s="268" t="s">
        <v>103</v>
      </c>
      <c r="O13" s="267" t="s">
        <v>104</v>
      </c>
      <c r="P13" s="269" t="s">
        <v>106</v>
      </c>
      <c r="Q13" s="270" t="s">
        <v>107</v>
      </c>
      <c r="R13" s="271" t="s">
        <v>108</v>
      </c>
    </row>
    <row r="14" spans="1:18" s="9" customFormat="1" ht="12" customHeight="1">
      <c r="A14" s="296" t="s">
        <v>329</v>
      </c>
      <c r="B14" s="297"/>
      <c r="C14" s="297"/>
      <c r="D14" s="302">
        <v>20</v>
      </c>
      <c r="E14" s="287">
        <v>25</v>
      </c>
      <c r="F14" s="305">
        <v>30</v>
      </c>
      <c r="G14" s="274">
        <v>30</v>
      </c>
      <c r="H14" s="287">
        <v>30</v>
      </c>
      <c r="I14" s="287">
        <v>25</v>
      </c>
      <c r="J14" s="287">
        <v>20</v>
      </c>
      <c r="K14" s="287">
        <v>20</v>
      </c>
      <c r="L14" s="287">
        <v>15</v>
      </c>
      <c r="M14" s="287">
        <v>15</v>
      </c>
      <c r="N14" s="287">
        <v>15</v>
      </c>
      <c r="O14" s="287">
        <v>15</v>
      </c>
      <c r="P14" s="287">
        <v>20</v>
      </c>
      <c r="Q14" s="290">
        <v>25</v>
      </c>
      <c r="R14" s="293">
        <v>30</v>
      </c>
    </row>
    <row r="15" spans="1:18" s="9" customFormat="1" ht="12" customHeight="1">
      <c r="A15" s="298"/>
      <c r="B15" s="299"/>
      <c r="C15" s="299"/>
      <c r="D15" s="303"/>
      <c r="E15" s="288"/>
      <c r="F15" s="306"/>
      <c r="G15" s="294"/>
      <c r="H15" s="288"/>
      <c r="I15" s="288"/>
      <c r="J15" s="288"/>
      <c r="K15" s="288"/>
      <c r="L15" s="288"/>
      <c r="M15" s="288"/>
      <c r="N15" s="288"/>
      <c r="O15" s="288"/>
      <c r="P15" s="288"/>
      <c r="Q15" s="291"/>
      <c r="R15" s="272"/>
    </row>
    <row r="16" spans="1:18" s="10" customFormat="1" ht="13.5" thickBot="1">
      <c r="A16" s="300"/>
      <c r="B16" s="301"/>
      <c r="C16" s="301"/>
      <c r="D16" s="304"/>
      <c r="E16" s="289"/>
      <c r="F16" s="307"/>
      <c r="G16" s="295"/>
      <c r="H16" s="289"/>
      <c r="I16" s="289"/>
      <c r="J16" s="289"/>
      <c r="K16" s="289"/>
      <c r="L16" s="289"/>
      <c r="M16" s="289"/>
      <c r="N16" s="289"/>
      <c r="O16" s="289"/>
      <c r="P16" s="289"/>
      <c r="Q16" s="292"/>
      <c r="R16" s="273"/>
    </row>
    <row r="17" spans="1:18" s="10" customFormat="1" ht="12.75">
      <c r="A17" s="265"/>
      <c r="B17" s="265"/>
      <c r="C17" s="26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6"/>
      <c r="R17" s="276"/>
    </row>
    <row r="18" spans="1:16" ht="10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286" t="s">
        <v>167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</row>
    <row r="20" spans="1:16" ht="12.75">
      <c r="A20" s="286" t="s">
        <v>168</v>
      </c>
      <c r="B20" s="286"/>
      <c r="C20" s="286"/>
      <c r="D20" s="286"/>
      <c r="E20" s="286"/>
      <c r="F20" s="286"/>
      <c r="G20" s="80"/>
      <c r="H20" s="80"/>
      <c r="I20" s="80"/>
      <c r="J20" s="80"/>
      <c r="K20" s="15"/>
      <c r="L20" s="15"/>
      <c r="M20" s="15"/>
      <c r="N20" s="15"/>
      <c r="O20" s="15"/>
      <c r="P20" s="77"/>
    </row>
    <row r="21" spans="1:16" ht="12.75">
      <c r="A21" s="64"/>
      <c r="B21" s="80"/>
      <c r="C21" s="80"/>
      <c r="D21" s="80"/>
      <c r="E21" s="80"/>
      <c r="F21" s="64"/>
      <c r="G21" s="15"/>
      <c r="H21" s="15"/>
      <c r="I21" s="15"/>
      <c r="J21" s="15"/>
      <c r="K21" s="15"/>
      <c r="L21" s="15"/>
      <c r="M21" s="15"/>
      <c r="N21" s="15"/>
      <c r="O21" s="15"/>
      <c r="P21" s="77"/>
    </row>
    <row r="22" spans="1:16" ht="12.75">
      <c r="A22" s="79" t="s">
        <v>169</v>
      </c>
      <c r="B22" s="80"/>
      <c r="C22" s="80"/>
      <c r="D22" s="80"/>
      <c r="E22" s="80"/>
      <c r="F22" s="64"/>
      <c r="G22" s="15"/>
      <c r="H22" s="79"/>
      <c r="I22" s="79" t="s">
        <v>170</v>
      </c>
      <c r="J22" s="15"/>
      <c r="K22" s="79"/>
      <c r="L22" s="79"/>
      <c r="M22" s="15"/>
      <c r="N22" s="79"/>
      <c r="O22" s="15"/>
      <c r="P22" s="77"/>
    </row>
    <row r="23" spans="1:16" ht="12.75">
      <c r="A23" s="64"/>
      <c r="B23" s="80"/>
      <c r="C23" s="80"/>
      <c r="D23" s="80"/>
      <c r="E23" s="80"/>
      <c r="F23" s="64"/>
      <c r="G23" s="15"/>
      <c r="H23" s="15"/>
      <c r="I23" s="15"/>
      <c r="J23" s="15"/>
      <c r="K23" s="15"/>
      <c r="L23" s="15"/>
      <c r="M23" s="15"/>
      <c r="N23" s="15"/>
      <c r="O23" s="15"/>
      <c r="P23" s="77"/>
    </row>
    <row r="24" spans="1:16" ht="12.75">
      <c r="A24" s="79" t="s">
        <v>171</v>
      </c>
      <c r="B24" s="64"/>
      <c r="C24" s="64"/>
      <c r="D24" s="64"/>
      <c r="E24" s="79"/>
      <c r="F24" s="64"/>
      <c r="G24" s="79"/>
      <c r="H24" s="79"/>
      <c r="I24" s="79" t="s">
        <v>327</v>
      </c>
      <c r="J24" s="15"/>
      <c r="K24" s="79"/>
      <c r="L24" s="79"/>
      <c r="M24" s="15"/>
      <c r="N24" s="79"/>
      <c r="O24" s="15"/>
      <c r="P24" s="77"/>
    </row>
    <row r="25" spans="1:16" ht="12.75">
      <c r="A25" s="79" t="s">
        <v>173</v>
      </c>
      <c r="B25" s="64"/>
      <c r="C25" s="64"/>
      <c r="D25" s="64"/>
      <c r="E25" s="64"/>
      <c r="F25" s="64"/>
      <c r="G25" s="15"/>
      <c r="H25" s="79"/>
      <c r="I25" s="79" t="s">
        <v>173</v>
      </c>
      <c r="J25" s="15"/>
      <c r="K25" s="79"/>
      <c r="L25" s="79"/>
      <c r="M25" s="15"/>
      <c r="N25" s="79"/>
      <c r="O25" s="15"/>
      <c r="P25" s="77"/>
    </row>
    <row r="26" spans="1:16" ht="12.75">
      <c r="A26" s="64"/>
      <c r="B26" s="64"/>
      <c r="C26" s="64"/>
      <c r="D26" s="64"/>
      <c r="E26" s="79"/>
      <c r="F26" s="64"/>
      <c r="G26" s="79"/>
      <c r="H26" s="15"/>
      <c r="I26" s="15"/>
      <c r="J26" s="15"/>
      <c r="K26" s="15"/>
      <c r="L26" s="15"/>
      <c r="M26" s="15"/>
      <c r="N26" s="15"/>
      <c r="O26" s="15"/>
      <c r="P26" s="77"/>
    </row>
    <row r="27" spans="1:16" ht="12.75">
      <c r="A27" s="79" t="s">
        <v>174</v>
      </c>
      <c r="B27" s="64"/>
      <c r="C27" s="64"/>
      <c r="D27" s="64"/>
      <c r="E27" s="64"/>
      <c r="F27" s="64"/>
      <c r="G27" s="15"/>
      <c r="H27" s="15"/>
      <c r="I27" s="15"/>
      <c r="J27" s="15"/>
      <c r="K27" s="15"/>
      <c r="L27" s="15"/>
      <c r="M27" s="15"/>
      <c r="N27" s="15"/>
      <c r="O27" s="15"/>
      <c r="P27" s="77"/>
    </row>
    <row r="28" spans="1:16" ht="12.75">
      <c r="A28" s="79" t="s">
        <v>175</v>
      </c>
      <c r="B28" s="64"/>
      <c r="C28" s="64"/>
      <c r="D28" s="64"/>
      <c r="E28" s="64"/>
      <c r="F28" s="64"/>
      <c r="G28" s="15"/>
      <c r="H28" s="15"/>
      <c r="I28" s="15"/>
      <c r="J28" s="15"/>
      <c r="K28" s="15"/>
      <c r="L28" s="15"/>
      <c r="M28" s="15"/>
      <c r="N28" s="15"/>
      <c r="O28" s="15"/>
      <c r="P28" s="77"/>
    </row>
    <row r="29" spans="1:16" ht="12.75">
      <c r="A29" s="79" t="s">
        <v>176</v>
      </c>
      <c r="B29" s="64"/>
      <c r="C29" s="64"/>
      <c r="D29" s="64"/>
      <c r="E29" s="64"/>
      <c r="F29" s="64"/>
      <c r="G29" s="15"/>
      <c r="H29" s="15"/>
      <c r="I29" s="15"/>
      <c r="J29" s="15"/>
      <c r="K29" s="15"/>
      <c r="L29" s="15"/>
      <c r="M29" s="15"/>
      <c r="N29" s="15"/>
      <c r="O29" s="15"/>
      <c r="P29" s="77"/>
    </row>
    <row r="30" spans="1:16" ht="12.75">
      <c r="A30" s="79" t="s">
        <v>175</v>
      </c>
      <c r="B30" s="64"/>
      <c r="C30" s="64"/>
      <c r="D30" s="64"/>
      <c r="E30" s="64"/>
      <c r="F30" s="64"/>
      <c r="G30" s="15"/>
      <c r="H30" s="15"/>
      <c r="I30" s="15"/>
      <c r="J30" s="15"/>
      <c r="K30" s="15"/>
      <c r="L30" s="15"/>
      <c r="M30" s="15"/>
      <c r="N30" s="15"/>
      <c r="O30" s="15"/>
      <c r="P30" s="77"/>
    </row>
    <row r="31" spans="1:16" ht="12.75">
      <c r="A31" s="79"/>
      <c r="B31" s="64"/>
      <c r="C31" s="64"/>
      <c r="D31" s="64"/>
      <c r="E31" s="64"/>
      <c r="F31" s="64"/>
      <c r="G31" s="15"/>
      <c r="H31" s="15"/>
      <c r="I31" s="15"/>
      <c r="J31" s="15"/>
      <c r="K31" s="15"/>
      <c r="L31" s="15"/>
      <c r="M31" s="15"/>
      <c r="N31" s="15"/>
      <c r="O31" s="15"/>
      <c r="P31" s="77"/>
    </row>
  </sheetData>
  <mergeCells count="26">
    <mergeCell ref="H1:P1"/>
    <mergeCell ref="H2:P2"/>
    <mergeCell ref="H3:P3"/>
    <mergeCell ref="C5:O5"/>
    <mergeCell ref="E14:E16"/>
    <mergeCell ref="F14:F16"/>
    <mergeCell ref="A6:O7"/>
    <mergeCell ref="A10:C11"/>
    <mergeCell ref="D10:F11"/>
    <mergeCell ref="G10:R11"/>
    <mergeCell ref="Q14:Q16"/>
    <mergeCell ref="R14:R16"/>
    <mergeCell ref="K14:K16"/>
    <mergeCell ref="L14:L16"/>
    <mergeCell ref="M14:M16"/>
    <mergeCell ref="N14:N16"/>
    <mergeCell ref="A19:P19"/>
    <mergeCell ref="A20:F20"/>
    <mergeCell ref="O14:O16"/>
    <mergeCell ref="P14:P16"/>
    <mergeCell ref="G14:G16"/>
    <mergeCell ref="H14:H16"/>
    <mergeCell ref="I14:I16"/>
    <mergeCell ref="J14:J16"/>
    <mergeCell ref="A14:C16"/>
    <mergeCell ref="D14:D16"/>
  </mergeCells>
  <printOptions/>
  <pageMargins left="0.75" right="0.54" top="0.51" bottom="0.5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71162">
    <tabColor indexed="26"/>
  </sheetPr>
  <dimension ref="A1:AG46"/>
  <sheetViews>
    <sheetView view="pageBreakPreview" zoomScaleNormal="75" zoomScaleSheetLayoutView="100" workbookViewId="0" topLeftCell="A1">
      <selection activeCell="A34" sqref="A34:P34"/>
    </sheetView>
  </sheetViews>
  <sheetFormatPr defaultColWidth="9.00390625" defaultRowHeight="12.75"/>
  <cols>
    <col min="3" max="3" width="12.25390625" style="0" customWidth="1"/>
    <col min="4" max="4" width="10.125" style="0" customWidth="1"/>
    <col min="5" max="5" width="8.375" style="0" customWidth="1"/>
    <col min="6" max="6" width="9.25390625" style="0" customWidth="1"/>
    <col min="7" max="7" width="9.00390625" style="0" customWidth="1"/>
    <col min="9" max="9" width="9.25390625" style="0" customWidth="1"/>
    <col min="10" max="10" width="8.375" style="0" customWidth="1"/>
    <col min="11" max="11" width="9.875" style="0" customWidth="1"/>
    <col min="12" max="12" width="9.00390625" style="0" customWidth="1"/>
    <col min="13" max="13" width="8.875" style="0" customWidth="1"/>
    <col min="14" max="14" width="8.75390625" style="0" customWidth="1"/>
    <col min="15" max="15" width="9.375" style="0" customWidth="1"/>
    <col min="16" max="16" width="9.25390625" style="0" customWidth="1"/>
  </cols>
  <sheetData>
    <row r="1" spans="1:16" ht="12.75">
      <c r="A1" s="9"/>
      <c r="B1" s="277"/>
      <c r="C1" s="277"/>
      <c r="D1" s="277"/>
      <c r="E1" s="277"/>
      <c r="F1" s="277"/>
      <c r="G1" s="277"/>
      <c r="H1" s="315" t="s">
        <v>162</v>
      </c>
      <c r="I1" s="315"/>
      <c r="J1" s="315"/>
      <c r="K1" s="315"/>
      <c r="L1" s="315"/>
      <c r="M1" s="315"/>
      <c r="N1" s="315"/>
      <c r="O1" s="315"/>
      <c r="P1" s="315"/>
    </row>
    <row r="2" spans="1:16" ht="18.75" customHeight="1">
      <c r="A2" s="277"/>
      <c r="B2" s="277"/>
      <c r="C2" s="277"/>
      <c r="D2" s="277"/>
      <c r="E2" s="277"/>
      <c r="F2" s="277"/>
      <c r="G2" s="277"/>
      <c r="H2" s="315" t="s">
        <v>163</v>
      </c>
      <c r="I2" s="315"/>
      <c r="J2" s="315"/>
      <c r="K2" s="315"/>
      <c r="L2" s="315"/>
      <c r="M2" s="315"/>
      <c r="N2" s="315"/>
      <c r="O2" s="315"/>
      <c r="P2" s="315"/>
    </row>
    <row r="3" spans="1:19" s="3" customFormat="1" ht="12.75">
      <c r="A3" s="2"/>
      <c r="B3" s="2"/>
      <c r="C3" s="2"/>
      <c r="D3" s="13"/>
      <c r="E3" s="13"/>
      <c r="F3" s="13"/>
      <c r="G3" s="13"/>
      <c r="H3" s="315" t="s">
        <v>164</v>
      </c>
      <c r="I3" s="315"/>
      <c r="J3" s="315"/>
      <c r="K3" s="315"/>
      <c r="L3" s="315"/>
      <c r="M3" s="315"/>
      <c r="N3" s="315"/>
      <c r="O3" s="315"/>
      <c r="P3" s="315"/>
      <c r="Q3" s="2"/>
      <c r="R3" s="2"/>
      <c r="S3" s="2"/>
    </row>
    <row r="4" spans="1:19" s="3" customFormat="1" ht="12.75">
      <c r="A4" s="2"/>
      <c r="B4" s="2"/>
      <c r="C4" s="2"/>
      <c r="D4" s="13"/>
      <c r="E4" s="13"/>
      <c r="F4" s="13"/>
      <c r="G4" s="13"/>
      <c r="H4" s="63"/>
      <c r="I4" s="63"/>
      <c r="J4" s="63"/>
      <c r="K4" s="63"/>
      <c r="L4" s="63"/>
      <c r="M4" s="63"/>
      <c r="N4" s="63"/>
      <c r="O4" s="63"/>
      <c r="P4" s="63"/>
      <c r="Q4" s="2"/>
      <c r="R4" s="2"/>
      <c r="S4" s="2"/>
    </row>
    <row r="5" spans="2:18" s="3" customFormat="1" ht="12.75">
      <c r="B5" s="2"/>
      <c r="C5" s="316" t="s">
        <v>165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2"/>
      <c r="Q5" s="2"/>
      <c r="R5" s="2"/>
    </row>
    <row r="6" spans="1:16" ht="18.75" customHeight="1">
      <c r="A6" s="308" t="s">
        <v>179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277"/>
    </row>
    <row r="7" spans="1:16" s="4" customFormat="1" ht="31.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"/>
    </row>
    <row r="8" spans="1:16" ht="1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1:16" ht="19.5" customHeight="1" thickBot="1">
      <c r="A9" s="277"/>
      <c r="B9" s="277"/>
      <c r="C9" s="277"/>
      <c r="D9" s="277"/>
      <c r="E9" s="277"/>
      <c r="F9" s="277"/>
      <c r="G9" s="277"/>
      <c r="H9" s="277"/>
      <c r="I9" s="277"/>
      <c r="J9" s="12"/>
      <c r="K9" s="278"/>
      <c r="L9" s="278"/>
      <c r="M9" s="278"/>
      <c r="N9" s="278"/>
      <c r="O9" s="278"/>
      <c r="P9" s="278"/>
    </row>
    <row r="10" spans="1:16" ht="12" customHeight="1">
      <c r="A10" s="42" t="s">
        <v>131</v>
      </c>
      <c r="B10" s="17"/>
      <c r="C10" s="17"/>
      <c r="D10" s="18"/>
      <c r="E10" s="42" t="s">
        <v>132</v>
      </c>
      <c r="F10" s="17"/>
      <c r="G10" s="19"/>
      <c r="H10" s="18"/>
      <c r="I10" s="277"/>
      <c r="J10" s="277"/>
      <c r="K10" s="277"/>
      <c r="L10" s="277"/>
      <c r="M10" s="16"/>
      <c r="N10" s="16"/>
      <c r="O10" s="16"/>
      <c r="P10" s="16"/>
    </row>
    <row r="11" spans="1:16" s="1" customFormat="1" ht="13.5" customHeight="1" thickBot="1">
      <c r="A11" s="26" t="s">
        <v>133</v>
      </c>
      <c r="B11" s="16"/>
      <c r="C11" s="16"/>
      <c r="D11" s="20"/>
      <c r="E11" s="43" t="s">
        <v>134</v>
      </c>
      <c r="F11" s="44"/>
      <c r="G11" s="45"/>
      <c r="H11" s="21"/>
      <c r="I11" s="12"/>
      <c r="J11" s="12"/>
      <c r="K11" s="12"/>
      <c r="L11" s="12"/>
      <c r="M11" s="16"/>
      <c r="N11" s="16"/>
      <c r="O11" s="16"/>
      <c r="P11" s="16"/>
    </row>
    <row r="12" spans="1:16" s="7" customFormat="1" ht="11.25" customHeight="1">
      <c r="A12" s="42"/>
      <c r="B12" s="17"/>
      <c r="C12" s="19"/>
      <c r="D12" s="22"/>
      <c r="E12" s="26" t="s">
        <v>135</v>
      </c>
      <c r="F12" s="16"/>
      <c r="G12" s="46"/>
      <c r="H12" s="23"/>
      <c r="I12" s="12"/>
      <c r="J12" s="12"/>
      <c r="K12" s="12"/>
      <c r="L12" s="12"/>
      <c r="M12" s="16"/>
      <c r="N12" s="16"/>
      <c r="O12" s="16"/>
      <c r="P12" s="16"/>
    </row>
    <row r="13" spans="1:16" s="7" customFormat="1" ht="15" customHeight="1" thickBot="1">
      <c r="A13" s="26" t="s">
        <v>136</v>
      </c>
      <c r="B13" s="16"/>
      <c r="C13" s="46"/>
      <c r="D13" s="20"/>
      <c r="E13" s="26" t="s">
        <v>137</v>
      </c>
      <c r="F13" s="16"/>
      <c r="G13" s="46"/>
      <c r="H13" s="24"/>
      <c r="I13" s="12"/>
      <c r="J13" s="12"/>
      <c r="K13" s="12"/>
      <c r="L13" s="12"/>
      <c r="M13" s="16"/>
      <c r="N13" s="16"/>
      <c r="O13" s="16"/>
      <c r="P13" s="16"/>
    </row>
    <row r="14" spans="1:33" s="5" customFormat="1" ht="11.25" customHeight="1">
      <c r="A14" s="42"/>
      <c r="B14" s="17"/>
      <c r="C14" s="17"/>
      <c r="D14" s="22"/>
      <c r="E14" s="42" t="s">
        <v>160</v>
      </c>
      <c r="F14" s="17"/>
      <c r="G14" s="17"/>
      <c r="H14" s="23"/>
      <c r="I14" s="12"/>
      <c r="J14" s="12"/>
      <c r="K14" s="12"/>
      <c r="L14" s="12"/>
      <c r="M14" s="16"/>
      <c r="N14" s="16"/>
      <c r="O14" s="16"/>
      <c r="P14" s="1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16" s="7" customFormat="1" ht="12.75" customHeight="1" thickBot="1">
      <c r="A15" s="26" t="s">
        <v>138</v>
      </c>
      <c r="B15" s="16"/>
      <c r="C15" s="16"/>
      <c r="D15" s="25"/>
      <c r="E15" s="26" t="s">
        <v>139</v>
      </c>
      <c r="F15" s="16"/>
      <c r="G15" s="16"/>
      <c r="H15" s="21"/>
      <c r="I15" s="12"/>
      <c r="J15" s="12"/>
      <c r="K15" s="12"/>
      <c r="L15" s="12"/>
      <c r="M15" s="16"/>
      <c r="N15" s="16"/>
      <c r="O15" s="16"/>
      <c r="P15" s="16"/>
    </row>
    <row r="16" spans="1:33" s="5" customFormat="1" ht="11.25" customHeight="1">
      <c r="A16" s="42"/>
      <c r="B16" s="17"/>
      <c r="C16" s="17"/>
      <c r="D16" s="20"/>
      <c r="E16" s="42" t="s">
        <v>140</v>
      </c>
      <c r="F16" s="17"/>
      <c r="G16" s="19"/>
      <c r="H16" s="24"/>
      <c r="I16" s="12"/>
      <c r="J16" s="12"/>
      <c r="K16" s="12"/>
      <c r="L16" s="12"/>
      <c r="M16" s="16"/>
      <c r="N16" s="16"/>
      <c r="O16" s="16"/>
      <c r="P16" s="1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6" customFormat="1" ht="12.75" customHeight="1" thickBot="1">
      <c r="A17" s="43" t="s">
        <v>141</v>
      </c>
      <c r="B17" s="44" t="s">
        <v>142</v>
      </c>
      <c r="C17" s="44"/>
      <c r="D17" s="25"/>
      <c r="E17" s="43" t="s">
        <v>143</v>
      </c>
      <c r="F17" s="44"/>
      <c r="G17" s="45"/>
      <c r="H17" s="21"/>
      <c r="I17" s="12"/>
      <c r="J17" s="12"/>
      <c r="K17" s="12"/>
      <c r="L17" s="12"/>
      <c r="M17" s="16"/>
      <c r="N17" s="16"/>
      <c r="O17" s="16"/>
      <c r="P17" s="1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1" customFormat="1" ht="14.25" customHeight="1" thickBot="1">
      <c r="A18" s="43" t="s">
        <v>144</v>
      </c>
      <c r="B18" s="44"/>
      <c r="C18" s="44"/>
      <c r="D18" s="25"/>
      <c r="E18" s="65"/>
      <c r="F18" s="66"/>
      <c r="G18" s="67"/>
      <c r="H18" s="47"/>
      <c r="I18" s="15"/>
      <c r="J18" s="16"/>
      <c r="K18" s="16"/>
      <c r="L18" s="16"/>
      <c r="M18" s="16"/>
      <c r="N18" s="16"/>
      <c r="O18" s="16"/>
      <c r="P18" s="1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16" ht="3.7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  <c r="O19" s="16"/>
      <c r="P19" s="16"/>
    </row>
    <row r="20" spans="1:16" s="8" customFormat="1" ht="12.75" customHeight="1">
      <c r="A20" s="48"/>
      <c r="B20" s="49"/>
      <c r="C20" s="49"/>
      <c r="D20" s="5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1:16" s="8" customFormat="1" ht="12.75" customHeight="1" thickBot="1">
      <c r="A21" s="51"/>
      <c r="B21" s="52"/>
      <c r="C21" s="52"/>
      <c r="D21" s="5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 ht="3" customHeight="1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" customFormat="1" ht="13.5" thickBot="1">
      <c r="A23" s="42"/>
      <c r="B23" s="17"/>
      <c r="C23" s="17"/>
      <c r="D23" s="54" t="s">
        <v>145</v>
      </c>
      <c r="E23" s="55" t="s">
        <v>94</v>
      </c>
      <c r="F23" s="55" t="s">
        <v>95</v>
      </c>
      <c r="G23" s="55" t="s">
        <v>96</v>
      </c>
      <c r="H23" s="55" t="s">
        <v>98</v>
      </c>
      <c r="I23" s="55" t="s">
        <v>99</v>
      </c>
      <c r="J23" s="55" t="s">
        <v>100</v>
      </c>
      <c r="K23" s="55" t="s">
        <v>102</v>
      </c>
      <c r="L23" s="55" t="s">
        <v>103</v>
      </c>
      <c r="M23" s="55" t="s">
        <v>104</v>
      </c>
      <c r="N23" s="55" t="s">
        <v>106</v>
      </c>
      <c r="O23" s="55" t="s">
        <v>107</v>
      </c>
      <c r="P23" s="56" t="s">
        <v>108</v>
      </c>
    </row>
    <row r="24" spans="1:16" s="9" customFormat="1" ht="12" customHeight="1">
      <c r="A24" s="42" t="s">
        <v>146</v>
      </c>
      <c r="B24" s="17"/>
      <c r="C24" s="17"/>
      <c r="D24" s="42"/>
      <c r="E24" s="27"/>
      <c r="F24" s="17"/>
      <c r="G24" s="27"/>
      <c r="H24" s="17"/>
      <c r="I24" s="27"/>
      <c r="J24" s="17"/>
      <c r="K24" s="27"/>
      <c r="L24" s="17"/>
      <c r="M24" s="27"/>
      <c r="N24" s="17"/>
      <c r="O24" s="27"/>
      <c r="P24" s="19"/>
    </row>
    <row r="25" spans="1:16" s="9" customFormat="1" ht="12" customHeight="1">
      <c r="A25" s="57" t="s">
        <v>133</v>
      </c>
      <c r="B25" s="58"/>
      <c r="C25" s="5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16" s="10" customFormat="1" ht="12.75">
      <c r="A26" s="59" t="s">
        <v>147</v>
      </c>
      <c r="B26" s="60"/>
      <c r="C26" s="60"/>
      <c r="D26" s="31"/>
      <c r="E26" s="32"/>
      <c r="F26" s="32"/>
      <c r="G26" s="32"/>
      <c r="H26" s="33"/>
      <c r="I26" s="33"/>
      <c r="J26" s="32"/>
      <c r="K26" s="32"/>
      <c r="L26" s="32"/>
      <c r="M26" s="32"/>
      <c r="N26" s="32"/>
      <c r="O26" s="32"/>
      <c r="P26" s="34"/>
    </row>
    <row r="27" spans="1:16" s="9" customFormat="1" ht="12.75">
      <c r="A27" s="61" t="s">
        <v>138</v>
      </c>
      <c r="B27" s="62"/>
      <c r="C27" s="62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4"/>
    </row>
    <row r="28" spans="1:16" s="9" customFormat="1" ht="12" customHeight="1">
      <c r="A28" s="61" t="s">
        <v>148</v>
      </c>
      <c r="B28" s="62"/>
      <c r="C28" s="62"/>
      <c r="D28" s="31"/>
      <c r="E28" s="32"/>
      <c r="F28" s="32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1:17" s="9" customFormat="1" ht="12.75">
      <c r="A29" s="61" t="s">
        <v>149</v>
      </c>
      <c r="B29" s="62"/>
      <c r="C29" s="62"/>
      <c r="D29" s="31"/>
      <c r="E29" s="32"/>
      <c r="F29" s="32"/>
      <c r="G29" s="32"/>
      <c r="H29" s="33"/>
      <c r="I29" s="33"/>
      <c r="J29" s="32"/>
      <c r="K29" s="32"/>
      <c r="L29" s="32"/>
      <c r="M29" s="32"/>
      <c r="N29" s="32"/>
      <c r="O29" s="32"/>
      <c r="P29" s="34"/>
      <c r="Q29" s="11"/>
    </row>
    <row r="30" spans="1:17" s="9" customFormat="1" ht="12" customHeight="1">
      <c r="A30" s="61" t="s">
        <v>150</v>
      </c>
      <c r="B30" s="62"/>
      <c r="C30" s="62"/>
      <c r="D30" s="31"/>
      <c r="E30" s="32"/>
      <c r="F30" s="37"/>
      <c r="G30" s="32"/>
      <c r="H30" s="33"/>
      <c r="I30" s="32"/>
      <c r="J30" s="32"/>
      <c r="K30" s="32"/>
      <c r="L30" s="32"/>
      <c r="M30" s="32"/>
      <c r="N30" s="32"/>
      <c r="O30" s="32"/>
      <c r="P30" s="34"/>
      <c r="Q30" s="12"/>
    </row>
    <row r="31" spans="1:17" s="10" customFormat="1" ht="12" customHeight="1">
      <c r="A31" s="59" t="s">
        <v>151</v>
      </c>
      <c r="B31" s="60"/>
      <c r="C31" s="60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4"/>
      <c r="Q31" s="11"/>
    </row>
    <row r="32" spans="1:17" s="9" customFormat="1" ht="13.5" thickBot="1">
      <c r="A32" s="43" t="s">
        <v>152</v>
      </c>
      <c r="B32" s="44"/>
      <c r="C32" s="44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12"/>
    </row>
    <row r="33" spans="1:16" ht="10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286" t="s">
        <v>167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</row>
    <row r="35" spans="1:16" ht="12.75">
      <c r="A35" s="286" t="s">
        <v>168</v>
      </c>
      <c r="B35" s="286"/>
      <c r="C35" s="286"/>
      <c r="D35" s="286"/>
      <c r="E35" s="286"/>
      <c r="F35" s="286"/>
      <c r="G35" s="80"/>
      <c r="H35" s="80"/>
      <c r="I35" s="80"/>
      <c r="J35" s="80"/>
      <c r="K35" s="15"/>
      <c r="L35" s="15"/>
      <c r="M35" s="15"/>
      <c r="N35" s="15"/>
      <c r="O35" s="15"/>
      <c r="P35" s="277"/>
    </row>
    <row r="36" spans="1:16" ht="12.75">
      <c r="A36" s="64"/>
      <c r="B36" s="80"/>
      <c r="C36" s="80"/>
      <c r="D36" s="80"/>
      <c r="E36" s="80"/>
      <c r="F36" s="64"/>
      <c r="G36" s="15"/>
      <c r="H36" s="15"/>
      <c r="I36" s="15"/>
      <c r="J36" s="15"/>
      <c r="K36" s="15"/>
      <c r="L36" s="15"/>
      <c r="M36" s="15"/>
      <c r="N36" s="15"/>
      <c r="O36" s="15"/>
      <c r="P36" s="277"/>
    </row>
    <row r="37" spans="1:16" ht="12.75">
      <c r="A37" s="79" t="s">
        <v>169</v>
      </c>
      <c r="B37" s="80"/>
      <c r="C37" s="80"/>
      <c r="D37" s="80"/>
      <c r="E37" s="80"/>
      <c r="F37" s="64"/>
      <c r="G37" s="15"/>
      <c r="H37" s="79"/>
      <c r="I37" s="79" t="s">
        <v>170</v>
      </c>
      <c r="J37" s="15"/>
      <c r="K37" s="79"/>
      <c r="L37" s="79"/>
      <c r="M37" s="15"/>
      <c r="N37" s="79"/>
      <c r="O37" s="15"/>
      <c r="P37" s="277"/>
    </row>
    <row r="38" spans="1:16" ht="12.75">
      <c r="A38" s="64"/>
      <c r="B38" s="80"/>
      <c r="C38" s="80"/>
      <c r="D38" s="80"/>
      <c r="E38" s="80"/>
      <c r="F38" s="64"/>
      <c r="G38" s="15"/>
      <c r="H38" s="15"/>
      <c r="I38" s="15"/>
      <c r="J38" s="15"/>
      <c r="K38" s="15"/>
      <c r="L38" s="15"/>
      <c r="M38" s="15"/>
      <c r="N38" s="15"/>
      <c r="O38" s="15"/>
      <c r="P38" s="277"/>
    </row>
    <row r="39" spans="1:16" ht="12.75">
      <c r="A39" s="79" t="s">
        <v>171</v>
      </c>
      <c r="B39" s="64"/>
      <c r="C39" s="64"/>
      <c r="D39" s="64"/>
      <c r="E39" s="79"/>
      <c r="F39" s="64"/>
      <c r="G39" s="79"/>
      <c r="H39" s="79"/>
      <c r="I39" s="79" t="s">
        <v>172</v>
      </c>
      <c r="J39" s="15"/>
      <c r="K39" s="79"/>
      <c r="L39" s="79"/>
      <c r="M39" s="15"/>
      <c r="N39" s="79"/>
      <c r="O39" s="15"/>
      <c r="P39" s="277"/>
    </row>
    <row r="40" spans="1:16" ht="12.75">
      <c r="A40" s="79" t="s">
        <v>173</v>
      </c>
      <c r="B40" s="64"/>
      <c r="C40" s="64"/>
      <c r="D40" s="64"/>
      <c r="E40" s="64"/>
      <c r="F40" s="64"/>
      <c r="G40" s="15"/>
      <c r="H40" s="79"/>
      <c r="I40" s="79" t="s">
        <v>173</v>
      </c>
      <c r="J40" s="15"/>
      <c r="K40" s="79"/>
      <c r="L40" s="79"/>
      <c r="M40" s="15"/>
      <c r="N40" s="79"/>
      <c r="O40" s="15"/>
      <c r="P40" s="277"/>
    </row>
    <row r="41" spans="1:16" ht="12.75">
      <c r="A41" s="64"/>
      <c r="B41" s="64"/>
      <c r="C41" s="64"/>
      <c r="D41" s="64"/>
      <c r="E41" s="79"/>
      <c r="F41" s="64"/>
      <c r="G41" s="79"/>
      <c r="H41" s="15"/>
      <c r="I41" s="15"/>
      <c r="J41" s="15"/>
      <c r="K41" s="15"/>
      <c r="L41" s="15"/>
      <c r="M41" s="15"/>
      <c r="N41" s="15"/>
      <c r="O41" s="15"/>
      <c r="P41" s="277"/>
    </row>
    <row r="42" spans="1:16" ht="12.75">
      <c r="A42" s="79" t="s">
        <v>174</v>
      </c>
      <c r="B42" s="64"/>
      <c r="C42" s="64"/>
      <c r="D42" s="64"/>
      <c r="E42" s="64"/>
      <c r="F42" s="64"/>
      <c r="G42" s="15"/>
      <c r="H42" s="15"/>
      <c r="I42" s="15"/>
      <c r="J42" s="15"/>
      <c r="K42" s="15"/>
      <c r="L42" s="15"/>
      <c r="M42" s="15"/>
      <c r="N42" s="15"/>
      <c r="O42" s="15"/>
      <c r="P42" s="277"/>
    </row>
    <row r="43" spans="1:16" ht="12.75">
      <c r="A43" s="79" t="s">
        <v>175</v>
      </c>
      <c r="B43" s="64"/>
      <c r="C43" s="64"/>
      <c r="D43" s="64"/>
      <c r="E43" s="64"/>
      <c r="F43" s="64"/>
      <c r="G43" s="15"/>
      <c r="H43" s="15"/>
      <c r="I43" s="15"/>
      <c r="J43" s="15"/>
      <c r="K43" s="15"/>
      <c r="L43" s="15"/>
      <c r="M43" s="15"/>
      <c r="N43" s="15"/>
      <c r="O43" s="15"/>
      <c r="P43" s="277"/>
    </row>
    <row r="44" spans="1:16" ht="12.75">
      <c r="A44" s="79" t="s">
        <v>176</v>
      </c>
      <c r="B44" s="64"/>
      <c r="C44" s="64"/>
      <c r="D44" s="64"/>
      <c r="E44" s="64"/>
      <c r="F44" s="64"/>
      <c r="G44" s="15"/>
      <c r="H44" s="15"/>
      <c r="I44" s="15"/>
      <c r="J44" s="15"/>
      <c r="K44" s="15"/>
      <c r="L44" s="15"/>
      <c r="M44" s="15"/>
      <c r="N44" s="15"/>
      <c r="O44" s="15"/>
      <c r="P44" s="277"/>
    </row>
    <row r="45" spans="1:16" ht="12.75">
      <c r="A45" s="79" t="s">
        <v>175</v>
      </c>
      <c r="B45" s="64"/>
      <c r="C45" s="64"/>
      <c r="D45" s="64"/>
      <c r="E45" s="64"/>
      <c r="F45" s="64"/>
      <c r="G45" s="15"/>
      <c r="H45" s="15"/>
      <c r="I45" s="15"/>
      <c r="J45" s="15"/>
      <c r="K45" s="15"/>
      <c r="L45" s="15"/>
      <c r="M45" s="15"/>
      <c r="N45" s="15"/>
      <c r="O45" s="15"/>
      <c r="P45" s="277"/>
    </row>
    <row r="46" spans="1:16" ht="12.75">
      <c r="A46" s="79"/>
      <c r="B46" s="64"/>
      <c r="C46" s="64"/>
      <c r="D46" s="64"/>
      <c r="E46" s="64"/>
      <c r="F46" s="64"/>
      <c r="G46" s="15"/>
      <c r="H46" s="15"/>
      <c r="I46" s="15"/>
      <c r="J46" s="15"/>
      <c r="K46" s="15"/>
      <c r="L46" s="15"/>
      <c r="M46" s="15"/>
      <c r="N46" s="15"/>
      <c r="O46" s="15"/>
      <c r="P46" s="277"/>
    </row>
  </sheetData>
  <mergeCells count="7">
    <mergeCell ref="H1:P1"/>
    <mergeCell ref="H2:P2"/>
    <mergeCell ref="H3:P3"/>
    <mergeCell ref="A34:P34"/>
    <mergeCell ref="A35:F35"/>
    <mergeCell ref="C5:O5"/>
    <mergeCell ref="A6:O7"/>
  </mergeCells>
  <printOptions/>
  <pageMargins left="0.69" right="0.16" top="0.41" bottom="0.28" header="0.32" footer="0.4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Yurist</cp:lastModifiedBy>
  <cp:lastPrinted>2012-10-05T03:49:56Z</cp:lastPrinted>
  <dcterms:created xsi:type="dcterms:W3CDTF">2007-01-10T11:11:40Z</dcterms:created>
  <dcterms:modified xsi:type="dcterms:W3CDTF">2012-10-05T03:52:19Z</dcterms:modified>
  <cp:category/>
  <cp:version/>
  <cp:contentType/>
  <cp:contentStatus/>
</cp:coreProperties>
</file>