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5480" windowHeight="9510" activeTab="0"/>
  </bookViews>
  <sheets>
    <sheet name="Приложение № 2 План мероприятий" sheetId="1" r:id="rId1"/>
    <sheet name="Приложение 3 Перечень объектов " sheetId="2" r:id="rId2"/>
    <sheet name="Приложение № 5-1 Изменение " sheetId="3" r:id="rId3"/>
  </sheets>
  <definedNames>
    <definedName name="_xlnm.Print_Titles" localSheetId="0">'Приложение № 2 План мероприятий'!$15:$17</definedName>
    <definedName name="_xlnm.Print_Titles" localSheetId="2">'Приложение № 5-1 Изменение '!$12:$14</definedName>
    <definedName name="_xlnm.Print_Area" localSheetId="1">'Приложение 3 Перечень объектов '!$A$1:$P$36</definedName>
    <definedName name="_xlnm.Print_Area" localSheetId="0">'Приложение № 2 План мероприятий'!$A$1:$K$437</definedName>
    <definedName name="_xlnm.Print_Area" localSheetId="2">'Приложение № 5-1 Изменение '!$A$1:$L$433</definedName>
  </definedNames>
  <calcPr fullCalcOnLoad="1"/>
</workbook>
</file>

<file path=xl/sharedStrings.xml><?xml version="1.0" encoding="utf-8"?>
<sst xmlns="http://schemas.openxmlformats.org/spreadsheetml/2006/main" count="1222" uniqueCount="606">
  <si>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</si>
  <si>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</si>
  <si>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</si>
  <si>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</si>
  <si>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</si>
  <si>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</si>
  <si>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</si>
  <si>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</si>
  <si>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</si>
  <si>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</si>
  <si>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</si>
  <si>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</si>
  <si>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</si>
  <si>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</si>
  <si>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</si>
  <si>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</si>
  <si>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</si>
  <si>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</si>
  <si>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Окон и санузлов МАОУ СОШ № 13</t>
  </si>
  <si>
    <t>Окон и бассейна МАОУ СОШ № 11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</si>
  <si>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</si>
  <si>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</si>
  <si>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</si>
  <si>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</si>
  <si>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</si>
  <si>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</si>
  <si>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</si>
  <si>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</si>
  <si>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</si>
  <si>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</si>
  <si>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</si>
  <si>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</si>
  <si>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</si>
  <si>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</si>
  <si>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</si>
  <si>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</si>
  <si>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</si>
  <si>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</si>
  <si>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</si>
  <si>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</si>
  <si>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</si>
  <si>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</si>
  <si>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</si>
  <si>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</si>
  <si>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</si>
  <si>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</si>
  <si>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</si>
  <si>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</si>
  <si>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</si>
  <si>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</si>
  <si>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</si>
  <si>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</si>
  <si>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</si>
  <si>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</si>
  <si>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</si>
  <si>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</si>
  <si>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</si>
  <si>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</si>
  <si>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</si>
  <si>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</si>
  <si>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</si>
  <si>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</si>
  <si>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</si>
  <si>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</si>
  <si>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</si>
  <si>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</si>
  <si>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</si>
  <si>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</si>
  <si>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</si>
  <si>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</si>
  <si>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</si>
  <si>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</si>
  <si>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</si>
  <si>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</si>
  <si>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</si>
  <si>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</si>
  <si>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</si>
  <si>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</si>
  <si>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</si>
  <si>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</si>
  <si>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</si>
  <si>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</si>
  <si>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</si>
  <si>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Окон МАОУ СОШ № 9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</si>
  <si>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</si>
  <si>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</si>
  <si>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</si>
  <si>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</si>
  <si>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</si>
  <si>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</si>
  <si>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</si>
  <si>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</si>
  <si>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</si>
  <si>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</si>
  <si>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</si>
  <si>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</si>
  <si>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Открытие дошкольной группы м МБОУ ООШ № 4 п.Баяновка на 20 мест, всего: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</si>
  <si>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</si>
  <si>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</si>
  <si>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</si>
  <si>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</si>
  <si>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</si>
  <si>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</si>
  <si>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</si>
  <si>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</si>
  <si>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</si>
  <si>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</si>
  <si>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86</t>
  </si>
  <si>
    <t>87</t>
  </si>
  <si>
    <t>88</t>
  </si>
  <si>
    <t>89</t>
  </si>
  <si>
    <t>90</t>
  </si>
  <si>
    <t>91</t>
  </si>
  <si>
    <t>92</t>
  </si>
  <si>
    <t>93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</si>
  <si>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</si>
  <si>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</si>
  <si>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</si>
  <si>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</si>
  <si>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</si>
  <si>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</si>
  <si>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</si>
  <si>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</si>
  <si>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</si>
  <si>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</si>
  <si>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</si>
  <si>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</si>
  <si>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</si>
  <si>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</si>
  <si>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</si>
  <si>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</si>
  <si>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</si>
  <si>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</si>
  <si>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</si>
  <si>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</si>
  <si>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</si>
  <si>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</si>
  <si>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</si>
  <si>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</si>
  <si>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</si>
  <si>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</si>
  <si>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</si>
  <si>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</si>
  <si>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</si>
  <si>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</si>
  <si>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</si>
  <si>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</si>
  <si>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</si>
  <si>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</si>
  <si>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</si>
  <si>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</si>
  <si>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</si>
  <si>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</si>
  <si>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</si>
  <si>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</si>
  <si>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</si>
  <si>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</si>
  <si>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</si>
  <si>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</si>
  <si>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</si>
  <si>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</si>
  <si>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</si>
  <si>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</si>
  <si>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</si>
  <si>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</si>
  <si>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</si>
  <si>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</si>
  <si>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</si>
  <si>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</si>
  <si>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</si>
  <si>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</si>
  <si>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</si>
  <si>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</si>
  <si>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</si>
  <si>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</si>
  <si>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</si>
  <si>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</si>
  <si>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</si>
  <si>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</si>
  <si>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</si>
  <si>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</si>
  <si>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</si>
  <si>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</si>
  <si>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</si>
  <si>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</si>
  <si>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</si>
  <si>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</si>
  <si>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</si>
  <si>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</si>
  <si>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</si>
  <si>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</si>
  <si>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</si>
  <si>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</si>
  <si>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</si>
  <si>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</si>
  <si>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</si>
  <si>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</si>
  <si>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</si>
  <si>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</si>
  <si>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</si>
  <si>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</si>
  <si>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</si>
  <si>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</si>
  <si>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</si>
  <si>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</si>
  <si>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</si>
  <si>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</si>
  <si>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</si>
  <si>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</si>
  <si>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</si>
  <si>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</si>
  <si>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</si>
  <si>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</si>
  <si>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</si>
  <si>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</si>
  <si>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</si>
  <si>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</si>
  <si>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</si>
  <si>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</si>
  <si>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</si>
  <si>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</si>
  <si>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</si>
  <si>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</si>
  <si>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</si>
  <si>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</si>
  <si>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</si>
  <si>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</si>
  <si>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</si>
  <si>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</si>
  <si>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</si>
  <si>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</si>
  <si>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</si>
  <si>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</si>
  <si>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</si>
  <si>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</si>
  <si>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</si>
  <si>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</si>
  <si>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</si>
  <si>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</si>
  <si>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</si>
  <si>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</si>
  <si>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</si>
  <si>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</si>
  <si>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</si>
  <si>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</si>
  <si>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</si>
  <si>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</si>
  <si>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</si>
  <si>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</si>
  <si>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</si>
  <si>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</si>
  <si>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</si>
  <si>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</si>
  <si>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</si>
  <si>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</si>
  <si>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</si>
  <si>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</si>
  <si>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</si>
  <si>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</si>
  <si>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</si>
  <si>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</si>
  <si>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</si>
  <si>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</si>
  <si>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</si>
  <si>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</si>
  <si>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</si>
  <si>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</si>
  <si>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</si>
  <si>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</si>
  <si>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</si>
  <si>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</si>
  <si>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</si>
  <si>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</si>
  <si>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</si>
  <si>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</si>
  <si>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</si>
  <si>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</si>
  <si>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</si>
  <si>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</si>
  <si>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</si>
  <si>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</si>
  <si>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</si>
  <si>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</si>
  <si>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</si>
  <si>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</si>
  <si>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</si>
  <si>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</si>
  <si>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</si>
  <si>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</si>
  <si>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</si>
  <si>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</si>
  <si>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</si>
  <si>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</si>
  <si>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</si>
  <si>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237</t>
  </si>
  <si>
    <t>238</t>
  </si>
  <si>
    <t>239</t>
  </si>
  <si>
    <t>240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</si>
  <si>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</si>
  <si>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</si>
  <si>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</si>
  <si>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</si>
  <si>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</si>
  <si>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</si>
  <si>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>235</t>
  </si>
  <si>
    <t>236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</si>
  <si>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</si>
  <si>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</si>
  <si>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</si>
  <si>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</si>
  <si>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</si>
  <si>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</si>
  <si>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</si>
  <si>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</si>
  <si>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</si>
  <si>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</si>
  <si>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</si>
  <si>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</si>
  <si>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</si>
  <si>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</si>
  <si>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</si>
  <si>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</si>
  <si>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</si>
  <si>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</si>
  <si>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</si>
  <si>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</si>
  <si>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</si>
  <si>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</si>
  <si>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</si>
  <si>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</si>
  <si>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</si>
  <si>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</si>
  <si>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</si>
  <si>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</si>
  <si>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</si>
  <si>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</si>
  <si>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</si>
  <si>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</si>
  <si>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</si>
  <si>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</si>
  <si>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</si>
  <si>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113</t>
  </si>
  <si>
    <t>115</t>
  </si>
  <si>
    <t>116</t>
  </si>
  <si>
    <t>117</t>
  </si>
  <si>
    <t>118</t>
  </si>
  <si>
    <t>219</t>
  </si>
  <si>
    <t>ПЛАН МЕРОПРИЯТИЙ</t>
  </si>
  <si>
    <t>Приложение № 3</t>
  </si>
  <si>
    <t>ПЕРЕЧЕНЬ</t>
  </si>
  <si>
    <t>объектов капитального строительства для бюджетных инвестиций</t>
  </si>
  <si>
    <t>муниципальной программы "Развитие образования в Североуральском городском округе" на 2014-2020 г.г.</t>
  </si>
  <si>
    <t>Всего по объекту 1, в том числе:</t>
  </si>
  <si>
    <t>Адрес объекта капитального строительства</t>
  </si>
  <si>
    <t xml:space="preserve"> </t>
  </si>
  <si>
    <t>г.Североуральск, ул.Каржавина, д.48</t>
  </si>
  <si>
    <t>Форма собственности</t>
  </si>
  <si>
    <t>муниципальная</t>
  </si>
  <si>
    <t>Сметная стоимость объекта</t>
  </si>
  <si>
    <t>в текущих ценах (на момент составления ПСД)</t>
  </si>
  <si>
    <t>в ценах соответствующих лет реализации проекта</t>
  </si>
  <si>
    <t>Сроки строительства (проектно-сметных работ, экспертизы проектно-сметной документации)</t>
  </si>
  <si>
    <t>начало</t>
  </si>
  <si>
    <t>ввод (завершение)</t>
  </si>
  <si>
    <t>Наименование объекта капитального строительства / Источники</t>
  </si>
  <si>
    <t>Объект 2                                                                                                   (Инструментальное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реконструкцию)</t>
  </si>
  <si>
    <t>Ноябрь 2013</t>
  </si>
  <si>
    <t>Декабрь 2014</t>
  </si>
  <si>
    <t>п.Калья, ул.Больничный переулок, 4а</t>
  </si>
  <si>
    <t>Объект 1                                                                                                   (Строительство детского сада на 90 мест)</t>
  </si>
  <si>
    <t>федеральный</t>
  </si>
  <si>
    <t>Всего по объекту 2, в том числе:</t>
  </si>
  <si>
    <t>Февраль 2016</t>
  </si>
  <si>
    <t>Май                             2016</t>
  </si>
  <si>
    <t>288</t>
  </si>
  <si>
    <t>Фасада, ливневых водостоков МАОУ СОШ № 14</t>
  </si>
  <si>
    <t>289</t>
  </si>
  <si>
    <t>к Постановлению Администрации</t>
  </si>
  <si>
    <t>Североуральского городского округа</t>
  </si>
  <si>
    <t xml:space="preserve">от                              №    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</si>
  <si>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</si>
  <si>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</si>
  <si>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</si>
  <si>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</si>
  <si>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</si>
  <si>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МАОУ СОШ №  14</t>
  </si>
  <si>
    <t>Кровли здания МАОУ СОШ № 14 по ул.Больничный пер., 5</t>
  </si>
  <si>
    <t>Полов и санузлов МАОУ СОШ № 14</t>
  </si>
  <si>
    <t>Дверных блоков МАОУ СОШ № 14</t>
  </si>
  <si>
    <t>Здание МАОУ СОШ № 14 по ул.Больничный пер., 5</t>
  </si>
  <si>
    <t>290</t>
  </si>
  <si>
    <t>291</t>
  </si>
  <si>
    <t>292</t>
  </si>
  <si>
    <t>Мероприятие 12.                                                                                             Проектно-изыскательские работы, экспертиза и подготовительные мероприятия по оборудованию спортивной площадки на территории МАОУ СОШ № 8, всего, из них: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</si>
  <si>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</si>
  <si>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293</t>
  </si>
  <si>
    <t>294</t>
  </si>
  <si>
    <t>295</t>
  </si>
  <si>
    <t>296</t>
  </si>
  <si>
    <t>297</t>
  </si>
  <si>
    <t>298</t>
  </si>
  <si>
    <t>299</t>
  </si>
  <si>
    <t>300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</si>
  <si>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</si>
  <si>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</si>
  <si>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</si>
  <si>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1.3, целевые показатели 4,5 (строки 9,10), задача 1.4, целевой показатель 6 (строка 12)</t>
  </si>
  <si>
    <t>задача 1.1, целевой показатель 1 (строка 4), задача 1.3, целевой показатель 5 (строка10), задача 1.4, целевой показатель 6 (строка 12)</t>
  </si>
  <si>
    <t>задача 2.2, целевой показатель 8 (строка 18)</t>
  </si>
  <si>
    <t>задача 2.1, целевой показатель 7 (строка 16), задача 2.2, целевые показатели 8-11 (строки 18-21), задача 2.3, целевой показатель 12 (строка 23)</t>
  </si>
  <si>
    <t>задача 2.3, целевые показатели 13,14 (строки 24,25)</t>
  </si>
  <si>
    <t>задача 2.3, целевой показатель 15 (строка 26)</t>
  </si>
  <si>
    <t>МУНИЦИПАЛЬНОЙ ПРОГРАММЫ</t>
  </si>
  <si>
    <t>ИЗМЕНЕНИЕ МЕРОПРИЯТИЙ, ОБЪЕМОВ ФИНАНСИРОВАНИЯ И ЦЕЛЕВЫХ ПОКАЗАТЕЛЕЙ</t>
  </si>
  <si>
    <t>№ п/п</t>
  </si>
  <si>
    <t>Мероприятие муниципальной программы</t>
  </si>
  <si>
    <t>Наименование целевого показателя муниципальной программы (с указанием единицы измерения)</t>
  </si>
  <si>
    <t>Всего изменение общего объема финансирования в рамках муниципальной программы, тыс.рублей</t>
  </si>
  <si>
    <t>объем финансирования муниципальной программы в действующей редакции</t>
  </si>
  <si>
    <t>объем финансирования муниципальной программы в новой редакции</t>
  </si>
  <si>
    <t>изменение объема финансирования муниципальной программы (+/-)</t>
  </si>
  <si>
    <t>1</t>
  </si>
  <si>
    <t>в том числе 2016 год, тыс.рублей</t>
  </si>
  <si>
    <t>изменение объемов финансирования муниципальной программы</t>
  </si>
  <si>
    <t>изменение целевых показателей муниципальной программы</t>
  </si>
  <si>
    <t>значение целевого показателя муниципальной программы в действующей редакции</t>
  </si>
  <si>
    <t>значение целевого показателя  муниципальной программы в новой редакции</t>
  </si>
  <si>
    <t xml:space="preserve">Всего по направлению «Капитальные вложения» , в том числе:
</t>
  </si>
  <si>
    <r>
      <rPr>
        <b/>
        <sz val="8"/>
        <rFont val="Arial Cyr"/>
        <family val="0"/>
      </rPr>
      <t>Целевой показатель 2</t>
    </r>
    <r>
      <rPr>
        <sz val="8"/>
        <rFont val="Arial Cyr"/>
        <family val="0"/>
      </rPr>
      <t xml:space="preserve"> Увеличение количества мест в детских садах с 2594 мест на начало 2014 г до 2904 мест на начало 2021 года (мест);                                                                            </t>
    </r>
    <r>
      <rPr>
        <b/>
        <sz val="8"/>
        <rFont val="Arial Cyr"/>
        <family val="0"/>
      </rPr>
      <t>Целевой показатель 3</t>
    </r>
    <r>
      <rPr>
        <sz val="8"/>
        <rFont val="Arial Cyr"/>
        <family val="0"/>
      </rPr>
      <t xml:space="preserve"> Обеспеченность местами в дошкольных образовательных учреждениях детей в возрасте от 1,5 до 7 лет относительно общего количества детей этого возраста (%) </t>
    </r>
  </si>
  <si>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</si>
  <si>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Доля населения, удовлетворённого качеством услуг в сфере общего и дополнительного образования, от общего количества потребителей данных услуг (%)</t>
    </r>
  </si>
  <si>
    <r>
      <rPr>
        <b/>
        <sz val="8"/>
        <rFont val="Arial Cyr"/>
        <family val="0"/>
      </rPr>
      <t>Целевой показатель 7</t>
    </r>
    <r>
      <rPr>
        <sz val="8"/>
        <rFont val="Arial Cyr"/>
        <family val="0"/>
      </rPr>
      <t xml:space="preserve">  Доля образовательных организаций общего образования, реализующих ФГОС общего образования при взаимодействии с образовательными организациями дополнительного образования, от общего количества организаций общего образования (%);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(%);                                                                                           </t>
    </r>
    <r>
      <rPr>
        <b/>
        <sz val="8"/>
        <rFont val="Arial Cyr"/>
        <family val="0"/>
      </rPr>
      <t>Целевой показатель 9</t>
    </r>
    <r>
      <rPr>
        <sz val="8"/>
        <rFont val="Arial Cyr"/>
        <family val="0"/>
      </rPr>
      <t xml:space="preserve">  Доля выпускников, не освоивших программу основного общего образования, от общего количества выпускников 9х классов (%);                                                     </t>
    </r>
    <r>
      <rPr>
        <b/>
        <sz val="8"/>
        <rFont val="Arial Cyr"/>
        <family val="0"/>
      </rPr>
      <t>Целевой показатель 10</t>
    </r>
    <r>
      <rPr>
        <sz val="8"/>
        <rFont val="Arial Cyr"/>
        <family val="0"/>
      </rPr>
      <t xml:space="preserve">  Доля выпускников, не освоивших программу среднего (полного) общего образования, от общего количества выпускников 11х классов (%);                                                     </t>
    </r>
    <r>
      <rPr>
        <b/>
        <sz val="8"/>
        <rFont val="Arial Cyr"/>
        <family val="0"/>
      </rPr>
      <t>Целевой показатель 11</t>
    </r>
    <r>
      <rPr>
        <sz val="8"/>
        <rFont val="Arial Cyr"/>
        <family val="0"/>
      </rPr>
      <t xml:space="preserve">  Отношение среднего балла ЕГЭ (в расчёте на 1 предмет) в 10 процентах школ с лучшими результатами ЕГЭ к среднему баллу ЕГЭ (в расчёте на 1 предмет) в 10% школ с худшими результатами ЕГЭ (единиц);                                                                          </t>
    </r>
    <r>
      <rPr>
        <b/>
        <sz val="8"/>
        <rFont val="Arial Cyr"/>
        <family val="0"/>
      </rPr>
      <t>Целевой показатель 12</t>
    </r>
    <r>
      <rPr>
        <sz val="8"/>
        <rFont val="Arial Cyr"/>
        <family val="0"/>
      </rPr>
      <t xml:space="preserve">  Доля зданий образовательных организаций, требующих капитального ремонта, от общего количества зданий образовательных организаций (%);         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</si>
  <si>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</si>
  <si>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детей, охваченных организованным горячим питанием, от общего количества обучающихся (%)</t>
    </r>
  </si>
  <si>
    <r>
      <rPr>
        <b/>
        <sz val="8"/>
        <rFont val="Arial Cyr"/>
        <family val="0"/>
      </rPr>
      <t>Целевой показатель 13</t>
    </r>
    <r>
      <rPr>
        <sz val="8"/>
        <rFont val="Arial Cyr"/>
        <family val="0"/>
      </rPr>
      <t xml:space="preserve">  Доля обучающихся, сдавших нормативы ГТО, от общего количества обучающихся в образовательных организациях общего образования, принимавших участие в сдаче нормативов ГТО (%);                                                   </t>
    </r>
    <r>
      <rPr>
        <b/>
        <sz val="8"/>
        <rFont val="Arial Cyr"/>
        <family val="0"/>
      </rPr>
      <t>Целевой показатель 14</t>
    </r>
    <r>
      <rPr>
        <sz val="8"/>
        <rFont val="Arial Cyr"/>
        <family val="0"/>
      </rPr>
      <t xml:space="preserve">  Доля обучающихся, занимающихся физической культурой и спортом, от общего количества обучающихся в образовательных организациях общего образования (%)</t>
    </r>
  </si>
  <si>
    <r>
      <rPr>
        <b/>
        <sz val="8"/>
        <rFont val="Arial Cyr"/>
        <family val="0"/>
      </rPr>
      <t>Целевой показатель 13</t>
    </r>
    <r>
      <rPr>
        <sz val="8"/>
        <rFont val="Arial Cyr"/>
        <family val="0"/>
      </rPr>
      <t xml:space="preserve">  Доля обучающихся, получающих дополнительные образовательные услуги естественно-научного направления и технического профиля, от общего количества обучающихся в образовательных организациях общего образования (%);                                                   </t>
    </r>
  </si>
  <si>
    <t>изменение значения целевого показателя муниципальной программы (+/-)</t>
  </si>
  <si>
    <t xml:space="preserve">Цп 4  = 0;                                                                    Цп 5 = 0;                                                      Цп 6 = 0 </t>
  </si>
  <si>
    <t xml:space="preserve">Цп 4  = 55%;                                                                    Цп 5 = 85%;                                                      Цп 6 = 30% </t>
  </si>
  <si>
    <t xml:space="preserve">Цп 1  = 100%;                                                                    Цп 5 = 85%;                                                      Цп 6 = 30% </t>
  </si>
  <si>
    <t xml:space="preserve">Цп 1  = 0;                                                                    Цп 5 = 0;                                                      Цп 6 = 0 </t>
  </si>
  <si>
    <t>Цп 7  = 100%;                                                                    Цп 8 = 80%;                                                      Цп 9 = 1%;      ЦП 10 = 2%;                          ЦП 11 = 1,4 ед;                      ЦП 12 = 35%</t>
  </si>
  <si>
    <t>Цп 7  = 0;                                                                    Цп 8 = 0;                                                      Цп 9 = 0;                        ЦП 10 = 0;                          ЦП 11 = 0;                      ЦП 12 = 0</t>
  </si>
  <si>
    <t>Цп 7  = 100%;                                                                    Цп 8 = 80%;                                                      Цп 9 = 1%;                               ЦП 10 = 2%;                          ЦП 11 = 1,4 ед;                      ЦП 12 = 35%</t>
  </si>
  <si>
    <r>
      <rPr>
        <b/>
        <sz val="8"/>
        <rFont val="Arial Cyr"/>
        <family val="0"/>
      </rPr>
      <t>Целевой показатель 1</t>
    </r>
    <r>
      <rPr>
        <sz val="8"/>
        <rFont val="Arial Cyr"/>
        <family val="0"/>
      </rPr>
      <t xml:space="preserve"> Доля образовательных организаций дошкольного образования, реализующих ФГОС дошкольного образования, от общего количества образовательных организаций (%);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5</t>
    </r>
    <r>
      <rPr>
        <sz val="8"/>
        <rFont val="Arial Cyr"/>
        <family val="0"/>
      </rPr>
      <t xml:space="preserve"> Доля населения, удовлетворённого качеством услуг дошкольного образования, от общего количества потребителей данной услуги (%);                                                                  </t>
    </r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</si>
  <si>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r>
      <rPr>
        <b/>
        <sz val="8"/>
        <rFont val="Arial Cyr"/>
        <family val="0"/>
      </rPr>
      <t>Целевой показатель 4</t>
    </r>
    <r>
      <rPr>
        <sz val="8"/>
        <rFont val="Arial Cyr"/>
        <family val="0"/>
      </rPr>
      <t xml:space="preserve"> Доля  зданий дошкольных образовательных организаций, требующих капитального ремонта, от общего количества  зданий дошкольных образовательных организаций (%);                                                                                      </t>
    </r>
    <r>
      <rPr>
        <b/>
        <sz val="8"/>
        <rFont val="Arial Cyr"/>
        <family val="0"/>
      </rPr>
      <t>Целевой показатель 5</t>
    </r>
    <r>
      <rPr>
        <sz val="8"/>
        <rFont val="Arial Cyr"/>
        <family val="0"/>
      </rPr>
      <t xml:space="preserve"> Доля населения, удовлетворённого качеством услуг дошкольного образования, от общего количества потребителей данной услуги (%);                                                        </t>
    </r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</si>
  <si>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r>
      <rPr>
        <b/>
        <sz val="8"/>
        <rFont val="Arial Cyr"/>
        <family val="0"/>
      </rPr>
      <t>Целевой показатель 7</t>
    </r>
    <r>
      <rPr>
        <sz val="8"/>
        <rFont val="Arial Cyr"/>
        <family val="0"/>
      </rPr>
      <t xml:space="preserve">  Доля образовательных организаций общего образования, реализующих ФГОС общего образования при взаимодействии с образовательными организациями дополнительного образования, от общего количества организаций общего образования (%);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(%);                                                                                           </t>
    </r>
    <r>
      <rPr>
        <b/>
        <sz val="8"/>
        <rFont val="Arial Cyr"/>
        <family val="0"/>
      </rPr>
      <t>Целевой показатель 9</t>
    </r>
    <r>
      <rPr>
        <sz val="8"/>
        <rFont val="Arial Cyr"/>
        <family val="0"/>
      </rPr>
      <t xml:space="preserve">  Доля выпускников, не освоивших программу основного общего образования, от общего количества выпускников 9х классов (%);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10</t>
    </r>
    <r>
      <rPr>
        <sz val="8"/>
        <rFont val="Arial Cyr"/>
        <family val="0"/>
      </rPr>
      <t xml:space="preserve">  Доля выпускников, не освоивших программу среднего (полного) общего образования, от общего количества выпускников 11х классов (%);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11</t>
    </r>
    <r>
      <rPr>
        <sz val="8"/>
        <rFont val="Arial Cyr"/>
        <family val="0"/>
      </rPr>
      <t xml:space="preserve">  Отношение среднего балла ЕГЭ (в расчёте на 1 предмет) в 10 процентах школ с лучшими результатами ЕГЭ к среднему баллу ЕГЭ (в расчёте на 1 предмет) в 10% школ с худшими результатами ЕГЭ (единиц);                                                                          </t>
    </r>
    <r>
      <rPr>
        <b/>
        <sz val="8"/>
        <rFont val="Arial Cyr"/>
        <family val="0"/>
      </rPr>
      <t>Целевой показатель 12</t>
    </r>
    <r>
      <rPr>
        <sz val="8"/>
        <rFont val="Arial Cyr"/>
        <family val="0"/>
      </rPr>
      <t xml:space="preserve">  Доля зданий образовательных организаций, требующих капитального ремонта, от общего количества зданий образовательных организаций (%);         </t>
    </r>
  </si>
  <si>
    <t>Мероприятие 15.                                                                                             Капитальный ремонт зданий и помещений 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организациях, всего, из них:</t>
  </si>
  <si>
    <t>Окон, помещений, электрооборудования МАОУ СОШ № 8</t>
  </si>
  <si>
    <t>Системы отопления, помещений  МБОУ СОШ № 2</t>
  </si>
  <si>
    <t>задача 2.3, целевой показатель 16 (строка 27)</t>
  </si>
  <si>
    <t>задача 6.1, целевой показатель 35 (строка 66)</t>
  </si>
  <si>
    <t>задача 2.2, целевой показатель 8 (строка 18), задача 2.5, целевой показатель 18 (строка 31)</t>
  </si>
  <si>
    <t>задача 2.6, целевой показатель 19 (строка 33), задача 2.6, целевой показатель 20 (строка 35)</t>
  </si>
  <si>
    <t>задача 2.3, целевой показатель 12 (строка 23), задача 2.4, целевой показатель17 (строка 29), задача 2.5, целевой показатель 18 (строка 31)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</si>
  <si>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</si>
  <si>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</si>
  <si>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</si>
  <si>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</si>
  <si>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</si>
  <si>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4.1, целевой показатель 29 (строка 52), задача 4.2, целевой показатель 31 (строка 55)</t>
  </si>
  <si>
    <t>задача 4.1, целевой показатель 28 (строка 51)</t>
  </si>
  <si>
    <t>задача 5.1, целевой показатель 32 (строка 59), задача 5.2, целевой показатель 34 (строка 62)</t>
  </si>
  <si>
    <t>задача 5.1, целевые показатели 32,33 (строки 59-60), задача 5.2, целевой показатель 34 (строка 62)</t>
  </si>
  <si>
    <t>задача 5.1, целевой показатель 33 (строка 60)</t>
  </si>
  <si>
    <t>задача 5.2, целевой показатель 34 (строка 62)</t>
  </si>
  <si>
    <t>задачи 6.1-6.3, целевые показатели 35-38 (строки 66, 68,70, 71)</t>
  </si>
  <si>
    <t>задачи 6.3-6.4, целевые показатели 37-40 (строки 70, 71, 73, 74)</t>
  </si>
  <si>
    <t>задача 6.4, целевые показатели 39, 40 (строки 73,74)</t>
  </si>
  <si>
    <t>задача 6.2, целевой показатель 36 (строка 68)</t>
  </si>
  <si>
    <t>301</t>
  </si>
  <si>
    <t>302</t>
  </si>
  <si>
    <t>303</t>
  </si>
  <si>
    <t>304</t>
  </si>
  <si>
    <r>
      <rPr>
        <b/>
        <sz val="8"/>
        <rFont val="Arial Cyr"/>
        <family val="0"/>
      </rPr>
      <t xml:space="preserve">Целевой показатель 12 </t>
    </r>
    <r>
      <rPr>
        <sz val="8"/>
        <rFont val="Arial Cyr"/>
        <family val="0"/>
      </rPr>
      <t>Доля зданий образовательных организаций, требующих капитального ремонта, от общего количества зданий образовательных организаций (%);</t>
    </r>
    <r>
      <rPr>
        <b/>
        <sz val="8"/>
        <rFont val="Arial Cyr"/>
        <family val="0"/>
      </rPr>
      <t xml:space="preserve">  Целевой показатель 17</t>
    </r>
    <r>
      <rPr>
        <sz val="8"/>
        <rFont val="Arial Cyr"/>
        <family val="0"/>
      </rPr>
      <t xml:space="preserve"> Доля обучающихся, получающих образовательные услуги в условиях, соответствующих современным требованиям, от общего количества обучающихся в образовательных организациях общего образования (%);                                                                                     </t>
    </r>
    <r>
      <rPr>
        <b/>
        <sz val="8"/>
        <rFont val="Arial Cyr"/>
        <family val="0"/>
      </rPr>
      <t>Целевой показатель 18</t>
    </r>
    <r>
      <rPr>
        <sz val="8"/>
        <rFont val="Arial Cyr"/>
        <family val="0"/>
      </rPr>
      <t xml:space="preserve"> Доля образовательных организаций общего и дополнительного образования, в которых соблюдены требования комплексной безопасности, от общего количества организаций общего и дополнительного образования (%)</t>
    </r>
  </si>
  <si>
    <r>
      <rPr>
        <b/>
        <sz val="8"/>
        <rFont val="Arial Cyr"/>
        <family val="0"/>
      </rPr>
      <t xml:space="preserve">Целевой показатель </t>
    </r>
    <r>
      <rPr>
        <sz val="8"/>
        <rFont val="Arial Cyr"/>
        <family val="0"/>
      </rPr>
      <t xml:space="preserve">1 Доля образовательных организаций дошкольного образования, реализующих ФГОС дошкольного образования, от общего количества образовательных организаций (%);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5</t>
    </r>
    <r>
      <rPr>
        <sz val="8"/>
        <rFont val="Arial Cyr"/>
        <family val="0"/>
      </rPr>
      <t xml:space="preserve"> Доля населения, удовлетворённого качеством услуг дошкольного образования, от общего количества потребителей данной услуги (%);                                                                          </t>
    </r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</si>
  <si>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r>
      <rPr>
        <b/>
        <sz val="8"/>
        <rFont val="Arial Cyr"/>
        <family val="0"/>
      </rPr>
      <t>Целевой показатель 18</t>
    </r>
    <r>
      <rPr>
        <sz val="8"/>
        <rFont val="Arial Cyr"/>
        <family val="0"/>
      </rPr>
      <t xml:space="preserve"> Доля образовательных организаций общего и дополнительного образования, в которых соблюдены требования комплексной безопасности, от общего количества организаций общего и дополнительного образования (%)</t>
    </r>
  </si>
  <si>
    <r>
      <rPr>
        <b/>
        <sz val="8"/>
        <rFont val="Arial Cyr"/>
        <family val="0"/>
      </rPr>
      <t>Целевой показатель 19</t>
    </r>
    <r>
      <rPr>
        <sz val="8"/>
        <rFont val="Arial Cyr"/>
        <family val="0"/>
      </rPr>
      <t xml:space="preserve"> Доля образовательных организаций общего образования, в которых созданы условия для обучения детей-инвалидов и детей с ОВЗ, от общего количества организаций общего образования (%);                                                                      </t>
    </r>
    <r>
      <rPr>
        <b/>
        <sz val="8"/>
        <rFont val="Arial Cyr"/>
        <family val="0"/>
      </rPr>
      <t>Целевой показатель 20</t>
    </r>
    <r>
      <rPr>
        <sz val="8"/>
        <rFont val="Arial Cyr"/>
        <family val="0"/>
      </rPr>
      <t xml:space="preserve"> Количество детей-инвалидов, обучающихся на дому с применением дистанционных технологий (чел.);       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</si>
  <si>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(%);                                                                                            </t>
    </r>
    <r>
      <rPr>
        <b/>
        <sz val="8"/>
        <rFont val="Arial Cyr"/>
        <family val="0"/>
      </rPr>
      <t>Целевой показатель 18</t>
    </r>
    <r>
      <rPr>
        <sz val="8"/>
        <rFont val="Arial Cyr"/>
        <family val="0"/>
      </rPr>
      <t xml:space="preserve"> Доля образовательных организаций общего и дополнительного образования, в которых соблюдены требования комплексной безопасности, от общего количества организаций общего и дополнительного образования (%)</t>
    </r>
  </si>
  <si>
    <r>
      <rPr>
        <b/>
        <sz val="8"/>
        <rFont val="Arial Cyr"/>
        <family val="0"/>
      </rPr>
      <t>Целевой показатель 24</t>
    </r>
    <r>
      <rPr>
        <sz val="8"/>
        <rFont val="Arial Cyr"/>
        <family val="0"/>
      </rPr>
      <t xml:space="preserve">  Соотношение числа молодых педагогических работников к числу педагогических работников пенсионного возраста (единиц);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25</t>
    </r>
    <r>
      <rPr>
        <sz val="8"/>
        <rFont val="Arial Cyr"/>
        <family val="0"/>
      </rPr>
      <t xml:space="preserve">  Доля молодых специалистов, продолжающих работу после первого, второго, третьего года работы, от общего количества молодых специалистов (%);   </t>
    </r>
    <r>
      <rPr>
        <b/>
        <sz val="8"/>
        <rFont val="Arial Cyr"/>
        <family val="0"/>
      </rPr>
      <t xml:space="preserve">Целевой показатель 26 </t>
    </r>
    <r>
      <rPr>
        <sz val="8"/>
        <rFont val="Arial Cyr"/>
        <family val="0"/>
      </rPr>
      <t xml:space="preserve"> Доля педагогических работников в возрасте до 30 лет, от общего количества педагогических работников (%);      </t>
    </r>
    <r>
      <rPr>
        <b/>
        <sz val="8"/>
        <rFont val="Arial Cyr"/>
        <family val="0"/>
      </rPr>
      <t>Целевой показатель 27</t>
    </r>
    <r>
      <rPr>
        <sz val="8"/>
        <rFont val="Arial Cyr"/>
        <family val="0"/>
      </rPr>
      <t xml:space="preserve">  Обеспеченность муниципальных образовательных учреждений профессиональными кадрами (%);                                      </t>
    </r>
  </si>
  <si>
    <r>
      <rPr>
        <b/>
        <sz val="8"/>
        <rFont val="Arial Cyr"/>
        <family val="0"/>
      </rPr>
      <t>Целевой показатель 21</t>
    </r>
    <r>
      <rPr>
        <sz val="8"/>
        <rFont val="Arial Cyr"/>
        <family val="0"/>
      </rPr>
      <t xml:space="preserve">  Доля педагогов, прошедших повышение квалификации, от общего количества педагогов, работающих в организациях общего образования (%);      </t>
    </r>
    <r>
      <rPr>
        <b/>
        <sz val="8"/>
        <rFont val="Arial Cyr"/>
        <family val="0"/>
      </rPr>
      <t>Целевой показатель 22</t>
    </r>
    <r>
      <rPr>
        <sz val="8"/>
        <rFont val="Arial Cyr"/>
        <family val="0"/>
      </rPr>
      <t xml:space="preserve">  Доля педагогических работников, имеющих квалификационные категории по итогам аттестации, от общего количества педагогических работникови (%);     </t>
    </r>
  </si>
  <si>
    <r>
      <rPr>
        <b/>
        <sz val="8"/>
        <rFont val="Arial Cyr"/>
        <family val="0"/>
      </rPr>
      <t>Целевой показатель 23</t>
    </r>
    <r>
      <rPr>
        <sz val="8"/>
        <rFont val="Arial Cyr"/>
        <family val="0"/>
      </rPr>
      <t xml:space="preserve">  Число участников профессиональных конкурсов, в том числе победителей  (чел.);      </t>
    </r>
  </si>
  <si>
    <r>
      <rPr>
        <b/>
        <sz val="8"/>
        <rFont val="Arial Cyr"/>
        <family val="0"/>
      </rPr>
      <t>Целевой показатель 31</t>
    </r>
    <r>
      <rPr>
        <sz val="8"/>
        <rFont val="Arial Cyr"/>
        <family val="0"/>
      </rPr>
      <t xml:space="preserve">  Доля учреждений детского оздоровления и отдыха, соответствующих требованиям комплексной безопасности и санитарного законодательства, от общего количества учреждений детского оздоровления и отдыха  (%.);      </t>
    </r>
  </si>
  <si>
    <r>
      <rPr>
        <b/>
        <sz val="8"/>
        <rFont val="Arial Cyr"/>
        <family val="0"/>
      </rPr>
      <t>Целевой показатель 29</t>
    </r>
    <r>
      <rPr>
        <sz val="8"/>
        <rFont val="Arial Cyr"/>
        <family val="0"/>
      </rPr>
      <t xml:space="preserve">  Доля детей, имеющих положительный оздоровительный эффект, от общего числа оздоровленных детей  (%.);                              </t>
    </r>
    <r>
      <rPr>
        <b/>
        <sz val="8"/>
        <rFont val="Arial Cyr"/>
        <family val="0"/>
      </rPr>
      <t>Целевой показатель 31</t>
    </r>
    <r>
      <rPr>
        <sz val="8"/>
        <rFont val="Arial Cyr"/>
        <family val="0"/>
      </rPr>
      <t xml:space="preserve">  Доля учреждений детского оздоровления и отдыха, соответствующих требованиям комплексной безопасности и санитарного законодательства, от общего количества учреждений детского оздоровления и отдыха  (%.)       </t>
    </r>
  </si>
  <si>
    <r>
      <rPr>
        <b/>
        <sz val="8"/>
        <rFont val="Arial Cyr"/>
        <family val="0"/>
      </rPr>
      <t>Целевой показатель 28</t>
    </r>
    <r>
      <rPr>
        <sz val="8"/>
        <rFont val="Arial Cyr"/>
        <family val="0"/>
      </rPr>
      <t xml:space="preserve">  Доля детей, охваченных различными организованными формами оздоровления, отдыха и занятости в каникулярное и межканикулярное время, от общего количества детей в возрасте 6,5-17 лет  (%.);      </t>
    </r>
  </si>
  <si>
    <r>
      <rPr>
        <b/>
        <sz val="8"/>
        <rFont val="Arial Cyr"/>
        <family val="0"/>
      </rPr>
      <t>Целевой показатель 32</t>
    </r>
    <r>
      <rPr>
        <sz val="8"/>
        <rFont val="Arial Cyr"/>
        <family val="0"/>
      </rPr>
      <t xml:space="preserve">  Количество жалоб и обращений по фактам нарушения законодательства в сфере образования (кол-во);                                                                                          </t>
    </r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</si>
  <si>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32</t>
    </r>
    <r>
      <rPr>
        <sz val="8"/>
        <rFont val="Arial Cyr"/>
        <family val="0"/>
      </rPr>
      <t xml:space="preserve">  Количество жалоб и обращений по фактам нарушения законодательства в сфере образования (кол-во);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3</t>
    </r>
    <r>
      <rPr>
        <sz val="8"/>
        <rFont val="Arial Cyr"/>
        <family val="0"/>
      </rPr>
      <t xml:space="preserve">3  Доля образовательных организаций, работающих на основе показателей эффективности деятельности учреждения, от общего количества образовательных организаций (%);                                                                                            </t>
    </r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</si>
  <si>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32</t>
    </r>
    <r>
      <rPr>
        <sz val="8"/>
        <rFont val="Arial Cyr"/>
        <family val="0"/>
      </rPr>
      <t xml:space="preserve">  Количество жалоб и обращений по фактам нарушения законодательства в сфере образования (кол-во);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</si>
  <si>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3</t>
    </r>
    <r>
      <rPr>
        <sz val="8"/>
        <rFont val="Arial Cyr"/>
        <family val="0"/>
      </rPr>
      <t xml:space="preserve">3  Доля образовательных организаций, работающих на основе показателей эффективности деятельности учреждения, от общего количества образовательных организаций (%);                                            </t>
    </r>
  </si>
  <si>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</si>
  <si>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35</t>
    </r>
    <r>
      <rPr>
        <sz val="8"/>
        <rFont val="Arial Cyr"/>
        <family val="0"/>
      </rPr>
      <t xml:space="preserve"> Доля детей, охваченных организованным горячим питанием, от общего количества обучающихся (%)</t>
    </r>
  </si>
  <si>
    <r>
      <rPr>
        <b/>
        <sz val="8"/>
        <rFont val="Arial Cyr"/>
        <family val="0"/>
      </rPr>
      <t>Целевой показатель 35</t>
    </r>
    <r>
      <rPr>
        <sz val="8"/>
        <rFont val="Arial Cyr"/>
        <family val="0"/>
      </rPr>
      <t xml:space="preserve"> Доля детей, охваченных организованным горячим питанием, от общего количества обучающихся (%);                                                                                       </t>
    </r>
    <r>
      <rPr>
        <b/>
        <sz val="8"/>
        <rFont val="Arial Cyr"/>
        <family val="0"/>
      </rPr>
      <t>Целевой показатель 36</t>
    </r>
    <r>
      <rPr>
        <sz val="8"/>
        <rFont val="Arial Cyr"/>
        <family val="0"/>
      </rPr>
      <t xml:space="preserve"> Доля населения, удовлетворённого организацией питания, от общего количества потребителей данной услуги(%);                                                                                   </t>
    </r>
    <r>
      <rPr>
        <b/>
        <sz val="8"/>
        <rFont val="Arial Cyr"/>
        <family val="0"/>
      </rPr>
      <t>Целевой показатель 37</t>
    </r>
    <r>
      <rPr>
        <sz val="8"/>
        <rFont val="Arial Cyr"/>
        <family val="0"/>
      </rPr>
      <t xml:space="preserve"> Количество предписаний контролирующих органов (кол-во);                                             </t>
    </r>
    <r>
      <rPr>
        <b/>
        <sz val="8"/>
        <rFont val="Arial Cyr"/>
        <family val="0"/>
      </rPr>
      <t>Целевой показатель 38</t>
    </r>
    <r>
      <rPr>
        <sz val="8"/>
        <rFont val="Arial Cyr"/>
        <family val="0"/>
      </rPr>
      <t xml:space="preserve"> Доля работников, прошедших обучение по теме «Здоровье учащихся» от общего количества педагогов (%)</t>
    </r>
  </si>
  <si>
    <r>
      <rPr>
        <b/>
        <sz val="8"/>
        <rFont val="Arial Cyr"/>
        <family val="0"/>
      </rPr>
      <t xml:space="preserve">Целевой показатель 37 </t>
    </r>
    <r>
      <rPr>
        <sz val="8"/>
        <rFont val="Arial Cyr"/>
        <family val="0"/>
      </rPr>
      <t xml:space="preserve">Количество предписаний контролирующих органов (кол-во);                                      </t>
    </r>
    <r>
      <rPr>
        <b/>
        <sz val="8"/>
        <rFont val="Arial Cyr"/>
        <family val="0"/>
      </rPr>
      <t xml:space="preserve">Целевой показатель 38 </t>
    </r>
    <r>
      <rPr>
        <sz val="8"/>
        <rFont val="Arial Cyr"/>
        <family val="0"/>
      </rPr>
      <t xml:space="preserve">Доля работников, прошедших обучение по теме «Здоровье учащихся» от общего количества педагогов (%);                                                                                   </t>
    </r>
    <r>
      <rPr>
        <b/>
        <sz val="8"/>
        <rFont val="Arial Cyr"/>
        <family val="0"/>
      </rPr>
      <t>Целевой показатель 39</t>
    </r>
    <r>
      <rPr>
        <sz val="8"/>
        <rFont val="Arial Cyr"/>
        <family val="0"/>
      </rPr>
      <t xml:space="preserve"> Количество просветительских мероприятий с детьми (кол-во); </t>
    </r>
    <r>
      <rPr>
        <b/>
        <sz val="8"/>
        <rFont val="Arial Cyr"/>
        <family val="0"/>
      </rPr>
      <t>Целевой показатель 40</t>
    </r>
    <r>
      <rPr>
        <sz val="8"/>
        <rFont val="Arial Cyr"/>
        <family val="0"/>
      </rPr>
      <t xml:space="preserve"> Количество просветительских мероприятий с родителями (законными представителями) (кол-во)</t>
    </r>
  </si>
  <si>
    <r>
      <rPr>
        <b/>
        <sz val="8"/>
        <rFont val="Arial Cyr"/>
        <family val="0"/>
      </rPr>
      <t>Целевой показатель 39</t>
    </r>
    <r>
      <rPr>
        <sz val="8"/>
        <rFont val="Arial Cyr"/>
        <family val="0"/>
      </rPr>
      <t xml:space="preserve"> Количество просветительских мероприятий с детьми (кол-во);                                                                                  </t>
    </r>
    <r>
      <rPr>
        <b/>
        <sz val="8"/>
        <rFont val="Arial Cyr"/>
        <family val="0"/>
      </rPr>
      <t>Целевой показатель 40</t>
    </r>
    <r>
      <rPr>
        <sz val="8"/>
        <rFont val="Arial Cyr"/>
        <family val="0"/>
      </rPr>
      <t xml:space="preserve"> Количество просветительских мероприятий с родителями (законными представителями) (кол-во)</t>
    </r>
  </si>
  <si>
    <r>
      <rPr>
        <b/>
        <sz val="8"/>
        <rFont val="Arial Cyr"/>
        <family val="0"/>
      </rPr>
      <t>Целевой показатель 36</t>
    </r>
    <r>
      <rPr>
        <sz val="8"/>
        <rFont val="Arial Cyr"/>
        <family val="0"/>
      </rPr>
      <t xml:space="preserve"> Доля населения, удовлетворённого организацией питания, от общего количества потребителей данной услуги(%) </t>
    </r>
  </si>
  <si>
    <r>
      <rPr>
        <b/>
        <sz val="8"/>
        <rFont val="Arial Cyr"/>
        <family val="0"/>
      </rPr>
      <t>Целевой показатель 16</t>
    </r>
    <r>
      <rPr>
        <sz val="8"/>
        <rFont val="Arial Cyr"/>
        <family val="0"/>
      </rPr>
      <t xml:space="preserve">  Удельный вес численности обучающихся , занимающихся в одну смену, в общей численности обучающихся в общеобразовательных организациях (%);                                                   </t>
    </r>
  </si>
  <si>
    <t xml:space="preserve">Цп 16  = 91,5%                                                                                                                   </t>
  </si>
  <si>
    <t>Спортивной площадки МАДОУ № 4</t>
  </si>
  <si>
    <t>МБДОУ № 34</t>
  </si>
  <si>
    <t>Окон и мастерских МАОУ СОШ № 9</t>
  </si>
  <si>
    <t>Кровли МАУ ДО "Центр "Остров"</t>
  </si>
  <si>
    <t>МБДОУ № 5</t>
  </si>
  <si>
    <t>МАБДОУ № 34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</si>
  <si>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</si>
  <si>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</si>
  <si>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</si>
  <si>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</si>
  <si>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</si>
  <si>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</si>
  <si>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</si>
  <si>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</si>
  <si>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</si>
  <si>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</si>
  <si>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</si>
  <si>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</si>
  <si>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</si>
  <si>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</si>
  <si>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</si>
  <si>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</si>
  <si>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</si>
  <si>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</si>
  <si>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</si>
  <si>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305</t>
  </si>
  <si>
    <t>306</t>
  </si>
  <si>
    <t>307</t>
  </si>
  <si>
    <t xml:space="preserve">14  = 100%;                                                                    Цп 5 = 85%;                                                      Цп 6 = 30% </t>
  </si>
  <si>
    <t xml:space="preserve">Цп 32 = 8;                                                                   Цп 34  = 5%                                                    </t>
  </si>
  <si>
    <t xml:space="preserve">Цп 32 = 0;                                                                   Цп 34  = 0                                                   </t>
  </si>
  <si>
    <t xml:space="preserve">Цп 18  = 67%                                                                                                                   </t>
  </si>
  <si>
    <t xml:space="preserve">Цп 18  = 0                                                                                                                   </t>
  </si>
  <si>
    <t xml:space="preserve">Цп 28  = 82%                                                                                                                   </t>
  </si>
  <si>
    <t xml:space="preserve">Цп 28  = 0                                                                                                                  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</si>
  <si>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</si>
  <si>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</si>
  <si>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</si>
  <si>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</si>
  <si>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</si>
  <si>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</si>
  <si>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</si>
  <si>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</si>
  <si>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</si>
  <si>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</si>
  <si>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</si>
  <si>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</si>
  <si>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</si>
  <si>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</si>
  <si>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</si>
  <si>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</si>
  <si>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</si>
  <si>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</si>
  <si>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</si>
  <si>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</si>
  <si>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</si>
  <si>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</si>
  <si>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</si>
  <si>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</si>
  <si>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</si>
  <si>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</si>
  <si>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</si>
  <si>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</si>
  <si>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</si>
  <si>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</si>
  <si>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</si>
  <si>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</si>
  <si>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</si>
  <si>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</si>
  <si>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</si>
  <si>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</si>
  <si>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</si>
  <si>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                       от                              №    </t>
  </si>
  <si>
    <t>Утверждено постановлением Админиистрации Североуральского городского округа</t>
  </si>
  <si>
    <t>№ ___________ от ______________________ 2016 года</t>
  </si>
  <si>
    <t>Приложение № 2 к муниципальной программе Североуральского городского округа</t>
  </si>
  <si>
    <t>форма № 5-1</t>
  </si>
  <si>
    <t xml:space="preserve">Цп 16  = 0                                                                                                                  </t>
  </si>
  <si>
    <t xml:space="preserve">Цп 13 = 20%;                                                                   Цп 14  = 25%                                                    </t>
  </si>
  <si>
    <t xml:space="preserve">Цп 13 = 0;                                                                   Цп 14  = 0                                                   </t>
  </si>
  <si>
    <t>местный бюджет                                                                                                (дополнительные работы за рамками Соглашения)</t>
  </si>
  <si>
    <t>местный бюджет                                                                                    (дополнительные работы за рамками Соглашения)</t>
  </si>
  <si>
    <t>308</t>
  </si>
  <si>
    <t xml:space="preserve">Цп 12  = 35%;                                                                    Цп 17 = 75%;                                                      Цп 18 = 67% </t>
  </si>
  <si>
    <t xml:space="preserve">Цп 12  = 0;                                                                    Цп 17 = 0;                                                      Цп 18 = 0 </t>
  </si>
  <si>
    <t xml:space="preserve">Цп 13  = 20%                                                                                                                  </t>
  </si>
  <si>
    <t xml:space="preserve">Цп 13  = 0                                                                                                             </t>
  </si>
  <si>
    <t>Цп 35  = 94%;                                                                    Цп 36 = 90%;                                                      Цп 37 = 7 пр.;                ЦП 38 = 10%</t>
  </si>
  <si>
    <t>Цп 35  = 0;                                                                    Цп 36 = 0;                                                      Цп 37 = 0;                ЦП 38 = 0</t>
  </si>
  <si>
    <t xml:space="preserve">                                                                 Цп 8 = 80%;                                                      Цп 18 = 67%                             </t>
  </si>
  <si>
    <t xml:space="preserve">                                                                 Цп 8 = 0                                               Цп 18 = 0                       </t>
  </si>
  <si>
    <t>16</t>
  </si>
  <si>
    <t>17</t>
  </si>
  <si>
    <t>18</t>
  </si>
  <si>
    <t>19</t>
  </si>
  <si>
    <t>20</t>
  </si>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</sst>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</numFmts>
  <fonts count="51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77" fontId="0" fillId="0" borderId="11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177" fontId="11" fillId="0" borderId="11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77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77" fontId="0" fillId="0" borderId="13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177" fontId="2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8" fillId="22" borderId="11" xfId="0" applyNumberFormat="1" applyFont="1" applyFill="1" applyBorder="1" applyAlignment="1">
      <alignment horizontal="left" vertical="center" wrapText="1"/>
    </xf>
    <xf numFmtId="177" fontId="2" fillId="22" borderId="11" xfId="0" applyNumberFormat="1" applyFont="1" applyFill="1" applyBorder="1" applyAlignment="1">
      <alignment horizontal="righ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77" fontId="0" fillId="25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77" fontId="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77" fontId="22" fillId="0" borderId="11" xfId="0" applyNumberFormat="1" applyFont="1" applyBorder="1" applyAlignment="1">
      <alignment horizontal="right" vertical="center" wrapText="1"/>
    </xf>
    <xf numFmtId="177" fontId="2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77" fontId="23" fillId="0" borderId="11" xfId="0" applyNumberFormat="1" applyFont="1" applyBorder="1" applyAlignment="1">
      <alignment horizontal="right" vertical="center" wrapText="1"/>
    </xf>
    <xf numFmtId="177" fontId="23" fillId="25" borderId="11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77" fontId="11" fillId="2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7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77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7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4" fillId="0" borderId="11" xfId="0" applyNumberFormat="1" applyFont="1" applyBorder="1" applyAlignment="1">
      <alignment horizontal="left" vertical="center" wrapText="1"/>
    </xf>
    <xf numFmtId="177" fontId="14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0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7" fontId="25" fillId="0" borderId="11" xfId="0" applyNumberFormat="1" applyFont="1" applyBorder="1" applyAlignment="1">
      <alignment horizontal="right" vertical="center" wrapText="1"/>
    </xf>
    <xf numFmtId="179" fontId="7" fillId="0" borderId="0" xfId="0" applyNumberFormat="1" applyFont="1" applyAlignment="1">
      <alignment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2" fillId="22" borderId="11" xfId="0" applyNumberFormat="1" applyFont="1" applyFill="1" applyBorder="1" applyAlignment="1">
      <alignment horizontal="right" vertical="center" wrapText="1"/>
    </xf>
    <xf numFmtId="180" fontId="18" fillId="0" borderId="0" xfId="0" applyNumberFormat="1" applyFont="1" applyAlignment="1">
      <alignment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177" fontId="14" fillId="0" borderId="0" xfId="0" applyNumberFormat="1" applyFont="1" applyAlignment="1">
      <alignment wrapText="1"/>
    </xf>
    <xf numFmtId="178" fontId="2" fillId="0" borderId="13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top" wrapText="1"/>
    </xf>
    <xf numFmtId="177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178" fontId="0" fillId="0" borderId="11" xfId="0" applyNumberFormat="1" applyFont="1" applyBorder="1" applyAlignment="1">
      <alignment horizontal="center" vertical="center" wrapText="1"/>
    </xf>
    <xf numFmtId="178" fontId="2" fillId="24" borderId="11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178" fontId="11" fillId="0" borderId="11" xfId="0" applyNumberFormat="1" applyFont="1" applyFill="1" applyBorder="1" applyAlignment="1">
      <alignment horizontal="right" vertical="center" wrapText="1"/>
    </xf>
    <xf numFmtId="178" fontId="11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26" fillId="0" borderId="11" xfId="0" applyNumberFormat="1" applyFont="1" applyBorder="1" applyAlignment="1">
      <alignment horizontal="center" vertical="center" wrapText="1"/>
    </xf>
    <xf numFmtId="178" fontId="25" fillId="0" borderId="13" xfId="0" applyNumberFormat="1" applyFont="1" applyFill="1" applyBorder="1" applyAlignment="1">
      <alignment horizontal="right" vertical="center" wrapText="1"/>
    </xf>
    <xf numFmtId="178" fontId="25" fillId="0" borderId="13" xfId="0" applyNumberFormat="1" applyFont="1" applyBorder="1" applyAlignment="1">
      <alignment horizontal="right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right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16" fillId="0" borderId="11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22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7" fillId="22" borderId="15" xfId="0" applyNumberFormat="1" applyFont="1" applyFill="1" applyBorder="1" applyAlignment="1">
      <alignment vertical="center" wrapText="1"/>
    </xf>
    <xf numFmtId="49" fontId="7" fillId="24" borderId="15" xfId="0" applyNumberFormat="1" applyFont="1" applyFill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6" borderId="15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178" fontId="0" fillId="2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8" fontId="0" fillId="22" borderId="11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11" fillId="0" borderId="13" xfId="0" applyNumberFormat="1" applyFont="1" applyFill="1" applyBorder="1" applyAlignment="1">
      <alignment horizontal="center" vertical="center" wrapText="1"/>
    </xf>
    <xf numFmtId="178" fontId="11" fillId="0" borderId="13" xfId="0" applyNumberFormat="1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9" fillId="0" borderId="16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178" fontId="30" fillId="0" borderId="13" xfId="0" applyNumberFormat="1" applyFont="1" applyBorder="1" applyAlignment="1">
      <alignment horizontal="left" vertical="center" wrapText="1"/>
    </xf>
    <xf numFmtId="178" fontId="30" fillId="0" borderId="13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Border="1" applyAlignment="1">
      <alignment horizontal="left" vertical="center" wrapText="1"/>
    </xf>
    <xf numFmtId="177" fontId="21" fillId="0" borderId="1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22" fillId="0" borderId="11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178" fontId="2" fillId="0" borderId="14" xfId="0" applyNumberFormat="1" applyFont="1" applyFill="1" applyBorder="1" applyAlignment="1">
      <alignment horizontal="right" vertical="center" wrapText="1"/>
    </xf>
    <xf numFmtId="178" fontId="0" fillId="0" borderId="14" xfId="0" applyNumberFormat="1" applyFont="1" applyFill="1" applyBorder="1" applyAlignment="1">
      <alignment horizontal="right" vertical="center" wrapText="1"/>
    </xf>
    <xf numFmtId="177" fontId="0" fillId="0" borderId="14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178" fontId="2" fillId="22" borderId="11" xfId="0" applyNumberFormat="1" applyFont="1" applyFill="1" applyBorder="1" applyAlignment="1">
      <alignment horizontal="right" vertical="center" wrapText="1"/>
    </xf>
    <xf numFmtId="178" fontId="2" fillId="6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178" fontId="0" fillId="0" borderId="14" xfId="0" applyNumberFormat="1" applyFont="1" applyFill="1" applyBorder="1" applyAlignment="1">
      <alignment horizontal="center" vertical="center" wrapText="1"/>
    </xf>
    <xf numFmtId="177" fontId="21" fillId="0" borderId="13" xfId="0" applyNumberFormat="1" applyFont="1" applyFill="1" applyBorder="1" applyAlignment="1">
      <alignment horizontal="left" vertical="center" wrapText="1"/>
    </xf>
    <xf numFmtId="177" fontId="0" fillId="0" borderId="13" xfId="0" applyNumberFormat="1" applyFont="1" applyFill="1" applyBorder="1" applyAlignment="1">
      <alignment horizontal="right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178" fontId="2" fillId="26" borderId="11" xfId="0" applyNumberFormat="1" applyFont="1" applyFill="1" applyBorder="1" applyAlignment="1">
      <alignment horizontal="right" vertical="center" wrapText="1"/>
    </xf>
    <xf numFmtId="177" fontId="21" fillId="26" borderId="13" xfId="0" applyNumberFormat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78" fontId="0" fillId="27" borderId="11" xfId="0" applyNumberFormat="1" applyFont="1" applyFill="1" applyBorder="1" applyAlignment="1">
      <alignment horizontal="right" vertical="center" wrapText="1"/>
    </xf>
    <xf numFmtId="178" fontId="0" fillId="27" borderId="11" xfId="0" applyNumberFormat="1" applyFont="1" applyFill="1" applyBorder="1" applyAlignment="1">
      <alignment horizontal="right" vertical="center" wrapText="1"/>
    </xf>
    <xf numFmtId="178" fontId="0" fillId="27" borderId="11" xfId="0" applyNumberFormat="1" applyFont="1" applyFill="1" applyBorder="1" applyAlignment="1">
      <alignment horizontal="right" vertical="center" wrapText="1"/>
    </xf>
    <xf numFmtId="178" fontId="0" fillId="27" borderId="11" xfId="0" applyNumberFormat="1" applyFont="1" applyFill="1" applyBorder="1" applyAlignment="1">
      <alignment horizontal="right" vertical="center" wrapText="1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0"/>
  <sheetViews>
    <sheetView tabSelected="1" view="pageBreakPreview" zoomScaleSheetLayoutView="100" zoomScalePageLayoutView="0" workbookViewId="0" topLeftCell="A415">
      <selection activeCell="C419" sqref="C419"/>
    </sheetView>
  </sheetViews>
  <sheetFormatPr defaultColWidth="9.00390625" defaultRowHeight="12.75"/>
  <cols>
    <col min="1" max="1" width="7.00390625" style="169" customWidth="1"/>
    <col min="2" max="2" width="63.00390625" style="105" customWidth="1"/>
    <col min="3" max="3" width="12.625" style="3" customWidth="1"/>
    <col min="4" max="5" width="11.125" style="0" customWidth="1"/>
    <col min="6" max="6" width="11.125" style="203" customWidth="1"/>
    <col min="7" max="10" width="11.125" style="0" customWidth="1"/>
    <col min="11" max="11" width="47.125" style="69" customWidth="1"/>
  </cols>
  <sheetData>
    <row r="1" spans="1:11" s="1" customFormat="1" ht="15.75">
      <c r="A1" s="169"/>
      <c r="B1" s="2"/>
      <c r="C1" s="107"/>
      <c r="F1" s="199"/>
      <c r="G1" s="82"/>
      <c r="H1" s="82"/>
      <c r="I1" s="82"/>
      <c r="J1" s="82"/>
      <c r="K1" s="83" t="s">
        <v>377</v>
      </c>
    </row>
    <row r="2" spans="1:11" s="1" customFormat="1" ht="15.75">
      <c r="A2" s="169"/>
      <c r="B2" s="81"/>
      <c r="C2" s="108"/>
      <c r="E2" s="82"/>
      <c r="F2" s="125"/>
      <c r="G2" s="82"/>
      <c r="H2" s="82"/>
      <c r="I2" s="82"/>
      <c r="J2" s="82"/>
      <c r="K2" s="83" t="s">
        <v>378</v>
      </c>
    </row>
    <row r="3" spans="1:11" s="1" customFormat="1" ht="15.75">
      <c r="A3" s="169"/>
      <c r="B3" s="81"/>
      <c r="C3" s="108"/>
      <c r="E3" s="68"/>
      <c r="F3" s="148"/>
      <c r="G3" s="68"/>
      <c r="H3" s="68"/>
      <c r="I3" s="68"/>
      <c r="J3" s="68"/>
      <c r="K3" s="105" t="s">
        <v>569</v>
      </c>
    </row>
    <row r="4" spans="1:11" s="1" customFormat="1" ht="15.75">
      <c r="A4" s="169"/>
      <c r="B4" s="81"/>
      <c r="C4" s="108"/>
      <c r="D4" s="168"/>
      <c r="E4" s="68"/>
      <c r="F4" s="148"/>
      <c r="G4" s="68"/>
      <c r="H4" s="68"/>
      <c r="I4" s="68"/>
      <c r="J4" s="68"/>
      <c r="K4" s="83" t="s">
        <v>47</v>
      </c>
    </row>
    <row r="5" spans="1:11" s="1" customFormat="1" ht="15.75">
      <c r="A5" s="169"/>
      <c r="B5" s="81"/>
      <c r="C5" s="108"/>
      <c r="E5" s="68"/>
      <c r="F5" s="148"/>
      <c r="G5" s="68"/>
      <c r="H5" s="68"/>
      <c r="I5" s="248" t="s">
        <v>380</v>
      </c>
      <c r="J5" s="248"/>
      <c r="K5" s="248"/>
    </row>
    <row r="6" spans="1:11" s="1" customFormat="1" ht="15.75">
      <c r="A6" s="169"/>
      <c r="B6" s="81"/>
      <c r="C6" s="108"/>
      <c r="D6" s="168"/>
      <c r="E6" s="68"/>
      <c r="F6" s="148"/>
      <c r="G6" s="68"/>
      <c r="H6" s="248" t="s">
        <v>381</v>
      </c>
      <c r="I6" s="248"/>
      <c r="J6" s="248"/>
      <c r="K6" s="248"/>
    </row>
    <row r="7" spans="1:11" s="1" customFormat="1" ht="15.75">
      <c r="A7" s="169"/>
      <c r="B7" s="81"/>
      <c r="C7" s="108"/>
      <c r="D7" s="168"/>
      <c r="E7" s="68"/>
      <c r="F7" s="148"/>
      <c r="G7" s="68"/>
      <c r="H7" s="248" t="s">
        <v>570</v>
      </c>
      <c r="I7" s="248"/>
      <c r="J7" s="248"/>
      <c r="K7" s="248"/>
    </row>
    <row r="8" spans="1:11" s="1" customFormat="1" ht="15.75">
      <c r="A8" s="169"/>
      <c r="B8" s="81"/>
      <c r="C8" s="108"/>
      <c r="D8" s="168"/>
      <c r="E8" s="68"/>
      <c r="F8" s="148"/>
      <c r="G8" s="68"/>
      <c r="H8" s="248" t="s">
        <v>571</v>
      </c>
      <c r="I8" s="248"/>
      <c r="J8" s="248"/>
      <c r="K8" s="248"/>
    </row>
    <row r="9" spans="1:11" s="1" customFormat="1" ht="15.75">
      <c r="A9" s="169"/>
      <c r="B9" s="81"/>
      <c r="C9" s="108"/>
      <c r="E9" s="68"/>
      <c r="F9" s="148"/>
      <c r="G9" s="68"/>
      <c r="H9" s="248" t="s">
        <v>572</v>
      </c>
      <c r="I9" s="248"/>
      <c r="J9" s="248"/>
      <c r="K9" s="248"/>
    </row>
    <row r="10" spans="1:11" s="1" customFormat="1" ht="15.75">
      <c r="A10" s="169"/>
      <c r="B10" s="81"/>
      <c r="C10" s="108"/>
      <c r="E10" s="68"/>
      <c r="F10" s="148"/>
      <c r="G10" s="68"/>
      <c r="H10" s="248" t="s">
        <v>381</v>
      </c>
      <c r="I10" s="248"/>
      <c r="J10" s="248"/>
      <c r="K10" s="248"/>
    </row>
    <row r="11" spans="1:11" s="1" customFormat="1" ht="15.75">
      <c r="A11" s="242" t="s">
        <v>347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1" s="1" customFormat="1" ht="15.75">
      <c r="A12" s="242" t="s">
        <v>597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1" s="1" customFormat="1" ht="15.75">
      <c r="A13" s="242" t="s">
        <v>67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</row>
    <row r="14" spans="1:11" s="1" customFormat="1" ht="15">
      <c r="A14" s="169"/>
      <c r="B14" s="2"/>
      <c r="C14" s="212"/>
      <c r="F14" s="199"/>
      <c r="K14" s="69"/>
    </row>
    <row r="15" spans="1:11" s="3" customFormat="1" ht="26.25" customHeight="1">
      <c r="A15" s="245" t="s">
        <v>596</v>
      </c>
      <c r="B15" s="243" t="s">
        <v>98</v>
      </c>
      <c r="C15" s="239" t="s">
        <v>97</v>
      </c>
      <c r="D15" s="240"/>
      <c r="E15" s="240"/>
      <c r="F15" s="240"/>
      <c r="G15" s="240"/>
      <c r="H15" s="240"/>
      <c r="I15" s="240"/>
      <c r="J15" s="241"/>
      <c r="K15" s="243" t="s">
        <v>599</v>
      </c>
    </row>
    <row r="16" spans="1:11" s="3" customFormat="1" ht="30.75" customHeight="1">
      <c r="A16" s="246"/>
      <c r="B16" s="219"/>
      <c r="C16" s="243" t="s">
        <v>598</v>
      </c>
      <c r="D16" s="4" t="s">
        <v>100</v>
      </c>
      <c r="E16" s="4" t="s">
        <v>101</v>
      </c>
      <c r="F16" s="200" t="s">
        <v>102</v>
      </c>
      <c r="G16" s="4" t="s">
        <v>103</v>
      </c>
      <c r="H16" s="4" t="s">
        <v>104</v>
      </c>
      <c r="I16" s="4" t="s">
        <v>105</v>
      </c>
      <c r="J16" s="4" t="s">
        <v>106</v>
      </c>
      <c r="K16" s="219"/>
    </row>
    <row r="17" spans="1:11" s="3" customFormat="1" ht="15.75" customHeight="1">
      <c r="A17" s="247"/>
      <c r="B17" s="244"/>
      <c r="C17" s="244"/>
      <c r="D17" s="4">
        <v>2014</v>
      </c>
      <c r="E17" s="4">
        <v>2015</v>
      </c>
      <c r="F17" s="200">
        <v>2016</v>
      </c>
      <c r="G17" s="4">
        <v>2017</v>
      </c>
      <c r="H17" s="4">
        <v>2018</v>
      </c>
      <c r="I17" s="4">
        <v>2019</v>
      </c>
      <c r="J17" s="4">
        <v>2020</v>
      </c>
      <c r="K17" s="244"/>
    </row>
    <row r="18" spans="1:11" s="23" customFormat="1" ht="30" customHeight="1">
      <c r="A18" s="170">
        <v>1</v>
      </c>
      <c r="B18" s="47" t="s">
        <v>31</v>
      </c>
      <c r="C18" s="112">
        <f>SUM(D18:J18)</f>
        <v>5148257.949</v>
      </c>
      <c r="D18" s="112">
        <f aca="true" t="shared" si="0" ref="D18:J18">SUM(D19:D22)</f>
        <v>707299.138</v>
      </c>
      <c r="E18" s="210">
        <f t="shared" si="0"/>
        <v>713636.937</v>
      </c>
      <c r="F18" s="210">
        <f t="shared" si="0"/>
        <v>701959.6740000001</v>
      </c>
      <c r="G18" s="48">
        <f t="shared" si="0"/>
        <v>703983.3</v>
      </c>
      <c r="H18" s="48">
        <f t="shared" si="0"/>
        <v>776796.3</v>
      </c>
      <c r="I18" s="48">
        <f t="shared" si="0"/>
        <v>771766.3</v>
      </c>
      <c r="J18" s="48">
        <f t="shared" si="0"/>
        <v>772816.3</v>
      </c>
      <c r="K18" s="70"/>
    </row>
    <row r="19" spans="1:11" s="25" customFormat="1" ht="15" customHeight="1">
      <c r="A19" s="104">
        <v>2</v>
      </c>
      <c r="B19" s="5" t="s">
        <v>600</v>
      </c>
      <c r="C19" s="115">
        <f>SUM(C25+C31)</f>
        <v>2224040.3920000005</v>
      </c>
      <c r="D19" s="111">
        <f>SUM(D25+D31)</f>
        <v>315595.163</v>
      </c>
      <c r="E19" s="111">
        <f aca="true" t="shared" si="1" ref="E19:F22">SUM(E25+E31)</f>
        <v>323285.155</v>
      </c>
      <c r="F19" s="220">
        <f t="shared" si="1"/>
        <v>237029.07400000005</v>
      </c>
      <c r="G19" s="52">
        <f aca="true" t="shared" si="2" ref="G19:J22">SUM(G25+G31)</f>
        <v>324346</v>
      </c>
      <c r="H19" s="52">
        <f t="shared" si="2"/>
        <v>344265</v>
      </c>
      <c r="I19" s="52">
        <f t="shared" si="2"/>
        <v>339235</v>
      </c>
      <c r="J19" s="52">
        <f t="shared" si="2"/>
        <v>340285</v>
      </c>
      <c r="K19" s="167"/>
    </row>
    <row r="20" spans="1:11" s="25" customFormat="1" ht="15" customHeight="1">
      <c r="A20" s="104">
        <v>3</v>
      </c>
      <c r="B20" s="5" t="s">
        <v>601</v>
      </c>
      <c r="C20" s="115">
        <f>SUM(C26+C32)</f>
        <v>20310.906</v>
      </c>
      <c r="D20" s="111">
        <f aca="true" t="shared" si="3" ref="C20:D22">SUM(D26+D32)</f>
        <v>13957.775</v>
      </c>
      <c r="E20" s="111">
        <f>SUM(E26+E32)</f>
        <v>2441.431</v>
      </c>
      <c r="F20" s="111">
        <f t="shared" si="1"/>
        <v>3911.7</v>
      </c>
      <c r="G20" s="52">
        <f t="shared" si="2"/>
        <v>0</v>
      </c>
      <c r="H20" s="52">
        <f t="shared" si="2"/>
        <v>0</v>
      </c>
      <c r="I20" s="52">
        <f t="shared" si="2"/>
        <v>0</v>
      </c>
      <c r="J20" s="52">
        <f t="shared" si="2"/>
        <v>0</v>
      </c>
      <c r="K20" s="167"/>
    </row>
    <row r="21" spans="1:11" s="25" customFormat="1" ht="15" customHeight="1">
      <c r="A21" s="104">
        <v>4</v>
      </c>
      <c r="B21" s="5" t="s">
        <v>602</v>
      </c>
      <c r="C21" s="115">
        <f t="shared" si="3"/>
        <v>2622209.251</v>
      </c>
      <c r="D21" s="111">
        <f>SUM(D27+D33)</f>
        <v>342548.8</v>
      </c>
      <c r="E21" s="111">
        <f>SUM(E27+E33)</f>
        <v>349910.351</v>
      </c>
      <c r="F21" s="111">
        <f>SUM(F27+F33)</f>
        <v>419318.9</v>
      </c>
      <c r="G21" s="52">
        <f t="shared" si="2"/>
        <v>337937.3</v>
      </c>
      <c r="H21" s="52">
        <f t="shared" si="2"/>
        <v>390831.3</v>
      </c>
      <c r="I21" s="52">
        <f t="shared" si="2"/>
        <v>390831.3</v>
      </c>
      <c r="J21" s="52">
        <f t="shared" si="2"/>
        <v>390831.3</v>
      </c>
      <c r="K21" s="167"/>
    </row>
    <row r="22" spans="1:11" s="25" customFormat="1" ht="15" customHeight="1">
      <c r="A22" s="104">
        <v>5</v>
      </c>
      <c r="B22" s="5" t="s">
        <v>603</v>
      </c>
      <c r="C22" s="115">
        <f t="shared" si="3"/>
        <v>281697.4</v>
      </c>
      <c r="D22" s="111">
        <f t="shared" si="3"/>
        <v>35197.4</v>
      </c>
      <c r="E22" s="111">
        <f t="shared" si="1"/>
        <v>38000</v>
      </c>
      <c r="F22" s="111">
        <f t="shared" si="1"/>
        <v>41700</v>
      </c>
      <c r="G22" s="52">
        <f t="shared" si="2"/>
        <v>41700</v>
      </c>
      <c r="H22" s="52">
        <f t="shared" si="2"/>
        <v>41700</v>
      </c>
      <c r="I22" s="52">
        <f t="shared" si="2"/>
        <v>41700</v>
      </c>
      <c r="J22" s="52">
        <f t="shared" si="2"/>
        <v>41700</v>
      </c>
      <c r="K22" s="167"/>
    </row>
    <row r="23" spans="1:11" s="25" customFormat="1" ht="15" customHeight="1">
      <c r="A23" s="104"/>
      <c r="B23" s="5"/>
      <c r="C23" s="159"/>
      <c r="D23" s="149"/>
      <c r="E23" s="149"/>
      <c r="F23" s="201"/>
      <c r="G23" s="36"/>
      <c r="H23" s="36"/>
      <c r="I23" s="36"/>
      <c r="J23" s="36"/>
      <c r="K23" s="71"/>
    </row>
    <row r="24" spans="1:11" s="27" customFormat="1" ht="30" customHeight="1">
      <c r="A24" s="171">
        <v>6</v>
      </c>
      <c r="B24" s="49" t="s">
        <v>12</v>
      </c>
      <c r="C24" s="150">
        <f>SUM(C25:C28)</f>
        <v>150955.855</v>
      </c>
      <c r="D24" s="150">
        <f aca="true" t="shared" si="4" ref="D24:J24">SUM(D25:D28)</f>
        <v>54205.854999999996</v>
      </c>
      <c r="E24" s="211">
        <f t="shared" si="4"/>
        <v>7500</v>
      </c>
      <c r="F24" s="211">
        <f t="shared" si="4"/>
        <v>10000</v>
      </c>
      <c r="G24" s="50">
        <f t="shared" si="4"/>
        <v>18000</v>
      </c>
      <c r="H24" s="50">
        <f t="shared" si="4"/>
        <v>22250</v>
      </c>
      <c r="I24" s="50">
        <f t="shared" si="4"/>
        <v>16250</v>
      </c>
      <c r="J24" s="50">
        <f t="shared" si="4"/>
        <v>22750</v>
      </c>
      <c r="K24" s="70"/>
    </row>
    <row r="25" spans="1:11" s="25" customFormat="1" ht="15" customHeight="1">
      <c r="A25" s="104">
        <v>7</v>
      </c>
      <c r="B25" s="5" t="s">
        <v>600</v>
      </c>
      <c r="C25" s="115">
        <f aca="true" t="shared" si="5" ref="C25:J25">SUM(C44+C146+C301+C326+C359+C414)</f>
        <v>102844.55500000001</v>
      </c>
      <c r="D25" s="116">
        <f t="shared" si="5"/>
        <v>6094.555</v>
      </c>
      <c r="E25" s="116">
        <f t="shared" si="5"/>
        <v>7500</v>
      </c>
      <c r="F25" s="111">
        <f t="shared" si="5"/>
        <v>10000</v>
      </c>
      <c r="G25" s="15">
        <f t="shared" si="5"/>
        <v>18000</v>
      </c>
      <c r="H25" s="15">
        <f t="shared" si="5"/>
        <v>22250</v>
      </c>
      <c r="I25" s="15">
        <f t="shared" si="5"/>
        <v>16250</v>
      </c>
      <c r="J25" s="15">
        <f t="shared" si="5"/>
        <v>22750</v>
      </c>
      <c r="K25" s="167"/>
    </row>
    <row r="26" spans="1:11" s="25" customFormat="1" ht="15" customHeight="1">
      <c r="A26" s="104">
        <v>8</v>
      </c>
      <c r="B26" s="5" t="s">
        <v>601</v>
      </c>
      <c r="C26" s="115">
        <f aca="true" t="shared" si="6" ref="C26:J26">SUM(C45+C360)</f>
        <v>12802.1</v>
      </c>
      <c r="D26" s="116">
        <f t="shared" si="6"/>
        <v>12802.1</v>
      </c>
      <c r="E26" s="116">
        <f t="shared" si="6"/>
        <v>0</v>
      </c>
      <c r="F26" s="111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67"/>
    </row>
    <row r="27" spans="1:11" s="25" customFormat="1" ht="15" customHeight="1">
      <c r="A27" s="104">
        <v>9</v>
      </c>
      <c r="B27" s="5" t="s">
        <v>602</v>
      </c>
      <c r="C27" s="115">
        <f aca="true" t="shared" si="7" ref="C27:J27">SUM(C46+C297+C361)</f>
        <v>35309.2</v>
      </c>
      <c r="D27" s="116">
        <f t="shared" si="7"/>
        <v>35309.2</v>
      </c>
      <c r="E27" s="116">
        <f t="shared" si="7"/>
        <v>0</v>
      </c>
      <c r="F27" s="111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67"/>
    </row>
    <row r="28" spans="1:11" s="25" customFormat="1" ht="15" customHeight="1">
      <c r="A28" s="104">
        <v>10</v>
      </c>
      <c r="B28" s="5" t="s">
        <v>603</v>
      </c>
      <c r="C28" s="115">
        <f>SUM(D28:J28)</f>
        <v>0</v>
      </c>
      <c r="D28" s="116">
        <f>SUM(D47)</f>
        <v>0</v>
      </c>
      <c r="E28" s="116">
        <f aca="true" t="shared" si="8" ref="E28:J28">SUM(E47)</f>
        <v>0</v>
      </c>
      <c r="F28" s="111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67"/>
    </row>
    <row r="29" spans="1:11" s="25" customFormat="1" ht="15" customHeight="1">
      <c r="A29" s="104"/>
      <c r="B29" s="5"/>
      <c r="C29" s="159"/>
      <c r="D29" s="149"/>
      <c r="E29" s="149"/>
      <c r="F29" s="201"/>
      <c r="G29" s="36"/>
      <c r="H29" s="36"/>
      <c r="I29" s="36"/>
      <c r="J29" s="36"/>
      <c r="K29" s="71"/>
    </row>
    <row r="30" spans="1:11" s="27" customFormat="1" ht="30" customHeight="1">
      <c r="A30" s="171">
        <v>11</v>
      </c>
      <c r="B30" s="49" t="s">
        <v>68</v>
      </c>
      <c r="C30" s="150">
        <f>SUM(C31:C34)</f>
        <v>4997302.0940000005</v>
      </c>
      <c r="D30" s="150">
        <f aca="true" t="shared" si="9" ref="D30:J30">SUM(D31:D34)</f>
        <v>653093.2829999999</v>
      </c>
      <c r="E30" s="150">
        <f t="shared" si="9"/>
        <v>706136.937</v>
      </c>
      <c r="F30" s="211">
        <f t="shared" si="9"/>
        <v>691959.6740000001</v>
      </c>
      <c r="G30" s="50">
        <f t="shared" si="9"/>
        <v>685983.3</v>
      </c>
      <c r="H30" s="50">
        <f t="shared" si="9"/>
        <v>754546.3</v>
      </c>
      <c r="I30" s="50">
        <f t="shared" si="9"/>
        <v>755516.3</v>
      </c>
      <c r="J30" s="50">
        <f t="shared" si="9"/>
        <v>750066.3</v>
      </c>
      <c r="K30" s="70"/>
    </row>
    <row r="31" spans="1:11" s="25" customFormat="1" ht="15" customHeight="1">
      <c r="A31" s="104">
        <v>12</v>
      </c>
      <c r="B31" s="5" t="s">
        <v>600</v>
      </c>
      <c r="C31" s="115">
        <f>SUM(D31:J31)</f>
        <v>2121195.8370000003</v>
      </c>
      <c r="D31" s="116">
        <f aca="true" t="shared" si="10" ref="D31:J31">SUM(D70+D178+D310+D332+D377+D420)</f>
        <v>309500.608</v>
      </c>
      <c r="E31" s="116">
        <f t="shared" si="10"/>
        <v>315785.155</v>
      </c>
      <c r="F31" s="111">
        <f t="shared" si="10"/>
        <v>227029.07400000005</v>
      </c>
      <c r="G31" s="15">
        <f t="shared" si="10"/>
        <v>306346</v>
      </c>
      <c r="H31" s="15">
        <f t="shared" si="10"/>
        <v>322015</v>
      </c>
      <c r="I31" s="15">
        <f t="shared" si="10"/>
        <v>322985</v>
      </c>
      <c r="J31" s="15">
        <f t="shared" si="10"/>
        <v>317535</v>
      </c>
      <c r="K31" s="167"/>
    </row>
    <row r="32" spans="1:11" s="25" customFormat="1" ht="15" customHeight="1">
      <c r="A32" s="104">
        <v>13</v>
      </c>
      <c r="B32" s="5" t="s">
        <v>601</v>
      </c>
      <c r="C32" s="115">
        <f>SUM(D32:J32)</f>
        <v>7508.806</v>
      </c>
      <c r="D32" s="116">
        <f aca="true" t="shared" si="11" ref="D32:J32">SUM(D71+D179+D333+D421)</f>
        <v>1155.675</v>
      </c>
      <c r="E32" s="116">
        <f t="shared" si="11"/>
        <v>2441.431</v>
      </c>
      <c r="F32" s="111">
        <f t="shared" si="11"/>
        <v>3911.7</v>
      </c>
      <c r="G32" s="15">
        <f t="shared" si="11"/>
        <v>0</v>
      </c>
      <c r="H32" s="15">
        <f t="shared" si="11"/>
        <v>0</v>
      </c>
      <c r="I32" s="15">
        <f t="shared" si="11"/>
        <v>0</v>
      </c>
      <c r="J32" s="15">
        <f t="shared" si="11"/>
        <v>0</v>
      </c>
      <c r="K32" s="167"/>
    </row>
    <row r="33" spans="1:11" s="25" customFormat="1" ht="15" customHeight="1">
      <c r="A33" s="104">
        <v>14</v>
      </c>
      <c r="B33" s="5" t="s">
        <v>602</v>
      </c>
      <c r="C33" s="115">
        <f>SUM(D33:J33)</f>
        <v>2586900.051</v>
      </c>
      <c r="D33" s="116">
        <f aca="true" t="shared" si="12" ref="D33:J33">SUM(D72+D180+D292+D334+D425)</f>
        <v>307239.6</v>
      </c>
      <c r="E33" s="116">
        <f t="shared" si="12"/>
        <v>349910.351</v>
      </c>
      <c r="F33" s="52">
        <f t="shared" si="12"/>
        <v>419318.9</v>
      </c>
      <c r="G33" s="15">
        <f t="shared" si="12"/>
        <v>337937.3</v>
      </c>
      <c r="H33" s="15">
        <f t="shared" si="12"/>
        <v>390831.3</v>
      </c>
      <c r="I33" s="15">
        <f t="shared" si="12"/>
        <v>390831.3</v>
      </c>
      <c r="J33" s="15">
        <f t="shared" si="12"/>
        <v>390831.3</v>
      </c>
      <c r="K33" s="167"/>
    </row>
    <row r="34" spans="1:11" s="25" customFormat="1" ht="15" customHeight="1">
      <c r="A34" s="104">
        <v>15</v>
      </c>
      <c r="B34" s="5" t="s">
        <v>603</v>
      </c>
      <c r="C34" s="115">
        <f>SUM(D34:J34)</f>
        <v>281697.4</v>
      </c>
      <c r="D34" s="116">
        <f aca="true" t="shared" si="13" ref="D34:J34">SUM(D73+D181)</f>
        <v>35197.4</v>
      </c>
      <c r="E34" s="116">
        <f t="shared" si="13"/>
        <v>38000</v>
      </c>
      <c r="F34" s="111">
        <f t="shared" si="13"/>
        <v>41700</v>
      </c>
      <c r="G34" s="15">
        <f t="shared" si="13"/>
        <v>41700</v>
      </c>
      <c r="H34" s="15">
        <f t="shared" si="13"/>
        <v>41700</v>
      </c>
      <c r="I34" s="15">
        <f t="shared" si="13"/>
        <v>41700</v>
      </c>
      <c r="J34" s="15">
        <f t="shared" si="13"/>
        <v>41700</v>
      </c>
      <c r="K34" s="167"/>
    </row>
    <row r="35" spans="1:11" s="25" customFormat="1" ht="15" customHeight="1">
      <c r="A35" s="104"/>
      <c r="B35" s="24"/>
      <c r="C35" s="160"/>
      <c r="D35" s="151"/>
      <c r="E35" s="151"/>
      <c r="F35" s="202"/>
      <c r="G35" s="26"/>
      <c r="H35" s="26"/>
      <c r="I35" s="26"/>
      <c r="J35" s="26"/>
      <c r="K35" s="71"/>
    </row>
    <row r="36" spans="1:11" s="7" customFormat="1" ht="15" customHeight="1">
      <c r="A36" s="172"/>
      <c r="B36" s="230" t="s">
        <v>593</v>
      </c>
      <c r="C36" s="231"/>
      <c r="D36" s="231"/>
      <c r="E36" s="231"/>
      <c r="F36" s="231"/>
      <c r="G36" s="231"/>
      <c r="H36" s="231"/>
      <c r="I36" s="231"/>
      <c r="J36" s="231"/>
      <c r="K36" s="232"/>
    </row>
    <row r="37" spans="1:11" s="39" customFormat="1" ht="33" customHeight="1">
      <c r="A37" s="103">
        <v>16</v>
      </c>
      <c r="B37" s="43" t="s">
        <v>1</v>
      </c>
      <c r="C37" s="97">
        <f>SUM(C38:C41)</f>
        <v>2046426.8909999998</v>
      </c>
      <c r="D37" s="115">
        <f>SUM(D38:D41)</f>
        <v>286746.642</v>
      </c>
      <c r="E37" s="115">
        <f aca="true" t="shared" si="14" ref="E37:J37">SUM(E38:E41)</f>
        <v>313283.712</v>
      </c>
      <c r="F37" s="114">
        <f t="shared" si="14"/>
        <v>268895.537</v>
      </c>
      <c r="G37" s="16">
        <f t="shared" si="14"/>
        <v>278873</v>
      </c>
      <c r="H37" s="16">
        <f t="shared" si="14"/>
        <v>298876</v>
      </c>
      <c r="I37" s="16">
        <f t="shared" si="14"/>
        <v>299876</v>
      </c>
      <c r="J37" s="16">
        <f t="shared" si="14"/>
        <v>299876</v>
      </c>
      <c r="K37" s="72"/>
    </row>
    <row r="38" spans="1:11" s="8" customFormat="1" ht="15" customHeight="1">
      <c r="A38" s="103">
        <v>17</v>
      </c>
      <c r="B38" s="10" t="s">
        <v>600</v>
      </c>
      <c r="C38" s="97">
        <f>SUM(D38:J38)</f>
        <v>840570.791</v>
      </c>
      <c r="D38" s="116">
        <f aca="true" t="shared" si="15" ref="D38:J38">SUM(D44+D70)</f>
        <v>108807.342</v>
      </c>
      <c r="E38" s="116">
        <f t="shared" si="15"/>
        <v>144100.712</v>
      </c>
      <c r="F38" s="111">
        <f t="shared" si="15"/>
        <v>79206.73700000001</v>
      </c>
      <c r="G38" s="15">
        <f t="shared" si="15"/>
        <v>126176</v>
      </c>
      <c r="H38" s="15">
        <f t="shared" si="15"/>
        <v>126760</v>
      </c>
      <c r="I38" s="15">
        <f t="shared" si="15"/>
        <v>127760</v>
      </c>
      <c r="J38" s="15">
        <f t="shared" si="15"/>
        <v>127760</v>
      </c>
      <c r="K38" s="73"/>
    </row>
    <row r="39" spans="1:11" s="8" customFormat="1" ht="15" customHeight="1">
      <c r="A39" s="103">
        <v>18</v>
      </c>
      <c r="B39" s="10" t="s">
        <v>601</v>
      </c>
      <c r="C39" s="97">
        <f>SUM(D39:J39)</f>
        <v>12802.1</v>
      </c>
      <c r="D39" s="111">
        <f>SUM(D45)</f>
        <v>12802.1</v>
      </c>
      <c r="E39" s="116">
        <f aca="true" t="shared" si="16" ref="E39:J39">SUM(E45)</f>
        <v>0</v>
      </c>
      <c r="F39" s="111">
        <f t="shared" si="16"/>
        <v>0</v>
      </c>
      <c r="G39" s="15">
        <f t="shared" si="16"/>
        <v>0</v>
      </c>
      <c r="H39" s="15">
        <f t="shared" si="16"/>
        <v>0</v>
      </c>
      <c r="I39" s="15">
        <f t="shared" si="16"/>
        <v>0</v>
      </c>
      <c r="J39" s="15">
        <f t="shared" si="16"/>
        <v>0</v>
      </c>
      <c r="K39" s="73"/>
    </row>
    <row r="40" spans="1:11" s="8" customFormat="1" ht="15" customHeight="1">
      <c r="A40" s="103">
        <v>19</v>
      </c>
      <c r="B40" s="10" t="s">
        <v>602</v>
      </c>
      <c r="C40" s="97">
        <f>SUM(D40:J40)</f>
        <v>924054</v>
      </c>
      <c r="D40" s="116">
        <f>SUM(D46+D72)</f>
        <v>134137.2</v>
      </c>
      <c r="E40" s="116">
        <f aca="true" t="shared" si="17" ref="E40:J40">SUM(E46+E72)</f>
        <v>131183</v>
      </c>
      <c r="F40" s="111">
        <f>SUM(F46+F72)</f>
        <v>149688.8</v>
      </c>
      <c r="G40" s="15">
        <f t="shared" si="17"/>
        <v>112697</v>
      </c>
      <c r="H40" s="15">
        <f t="shared" si="17"/>
        <v>132116</v>
      </c>
      <c r="I40" s="15">
        <f t="shared" si="17"/>
        <v>132116</v>
      </c>
      <c r="J40" s="15">
        <f t="shared" si="17"/>
        <v>132116</v>
      </c>
      <c r="K40" s="73"/>
    </row>
    <row r="41" spans="1:11" s="8" customFormat="1" ht="15" customHeight="1">
      <c r="A41" s="103">
        <v>20</v>
      </c>
      <c r="B41" s="10" t="s">
        <v>603</v>
      </c>
      <c r="C41" s="97">
        <f>SUM(D41:J41)</f>
        <v>269000</v>
      </c>
      <c r="D41" s="116">
        <f>SUM(D73)</f>
        <v>31000</v>
      </c>
      <c r="E41" s="116">
        <f aca="true" t="shared" si="18" ref="E41:J41">SUM(E73)</f>
        <v>38000</v>
      </c>
      <c r="F41" s="111">
        <f t="shared" si="18"/>
        <v>40000</v>
      </c>
      <c r="G41" s="15">
        <f t="shared" si="18"/>
        <v>40000</v>
      </c>
      <c r="H41" s="15">
        <f t="shared" si="18"/>
        <v>40000</v>
      </c>
      <c r="I41" s="15">
        <f t="shared" si="18"/>
        <v>40000</v>
      </c>
      <c r="J41" s="15">
        <f t="shared" si="18"/>
        <v>40000</v>
      </c>
      <c r="K41" s="73"/>
    </row>
    <row r="42" spans="1:11" s="8" customFormat="1" ht="15" customHeight="1">
      <c r="A42" s="173"/>
      <c r="B42" s="224" t="s">
        <v>604</v>
      </c>
      <c r="C42" s="225"/>
      <c r="D42" s="225"/>
      <c r="E42" s="225"/>
      <c r="F42" s="225"/>
      <c r="G42" s="225"/>
      <c r="H42" s="225"/>
      <c r="I42" s="225"/>
      <c r="J42" s="225"/>
      <c r="K42" s="226"/>
    </row>
    <row r="43" spans="1:11" s="39" customFormat="1" ht="31.5" customHeight="1">
      <c r="A43" s="103">
        <v>21</v>
      </c>
      <c r="B43" s="43" t="s">
        <v>276</v>
      </c>
      <c r="C43" s="97">
        <f>SUM(D43:J43)</f>
        <v>49099.123</v>
      </c>
      <c r="D43" s="115">
        <f>SUM(D44:D47)</f>
        <v>49099.123</v>
      </c>
      <c r="E43" s="115">
        <f aca="true" t="shared" si="19" ref="E43:J43">SUM(E44:E47)</f>
        <v>0</v>
      </c>
      <c r="F43" s="114">
        <f t="shared" si="19"/>
        <v>0</v>
      </c>
      <c r="G43" s="16">
        <f t="shared" si="19"/>
        <v>0</v>
      </c>
      <c r="H43" s="16">
        <f t="shared" si="19"/>
        <v>0</v>
      </c>
      <c r="I43" s="16">
        <f t="shared" si="19"/>
        <v>0</v>
      </c>
      <c r="J43" s="16">
        <f t="shared" si="19"/>
        <v>0</v>
      </c>
      <c r="K43" s="74"/>
    </row>
    <row r="44" spans="1:11" s="8" customFormat="1" ht="15" customHeight="1">
      <c r="A44" s="103">
        <v>22</v>
      </c>
      <c r="B44" s="10" t="s">
        <v>600</v>
      </c>
      <c r="C44" s="97">
        <f>SUM(D44:J44)</f>
        <v>1737.823</v>
      </c>
      <c r="D44" s="116">
        <f aca="true" t="shared" si="20" ref="D44:J44">SUM(D50+D63)</f>
        <v>1737.823</v>
      </c>
      <c r="E44" s="116">
        <f t="shared" si="20"/>
        <v>0</v>
      </c>
      <c r="F44" s="111">
        <f t="shared" si="20"/>
        <v>0</v>
      </c>
      <c r="G44" s="15">
        <f t="shared" si="20"/>
        <v>0</v>
      </c>
      <c r="H44" s="15">
        <f t="shared" si="20"/>
        <v>0</v>
      </c>
      <c r="I44" s="15">
        <f t="shared" si="20"/>
        <v>0</v>
      </c>
      <c r="J44" s="15">
        <f t="shared" si="20"/>
        <v>0</v>
      </c>
      <c r="K44" s="73"/>
    </row>
    <row r="45" spans="1:11" s="8" customFormat="1" ht="15" customHeight="1">
      <c r="A45" s="103">
        <v>23</v>
      </c>
      <c r="B45" s="10" t="s">
        <v>601</v>
      </c>
      <c r="C45" s="97">
        <f>SUM(D45:J45)</f>
        <v>12802.1</v>
      </c>
      <c r="D45" s="111">
        <f>SUM(D51)</f>
        <v>12802.1</v>
      </c>
      <c r="E45" s="116">
        <f aca="true" t="shared" si="21" ref="E45:J45">SUM(E51)</f>
        <v>0</v>
      </c>
      <c r="F45" s="111">
        <f t="shared" si="21"/>
        <v>0</v>
      </c>
      <c r="G45" s="15">
        <f t="shared" si="21"/>
        <v>0</v>
      </c>
      <c r="H45" s="15">
        <f t="shared" si="21"/>
        <v>0</v>
      </c>
      <c r="I45" s="15">
        <f t="shared" si="21"/>
        <v>0</v>
      </c>
      <c r="J45" s="15">
        <f t="shared" si="21"/>
        <v>0</v>
      </c>
      <c r="K45" s="73"/>
    </row>
    <row r="46" spans="1:11" s="8" customFormat="1" ht="15" customHeight="1">
      <c r="A46" s="103">
        <v>24</v>
      </c>
      <c r="B46" s="10" t="s">
        <v>602</v>
      </c>
      <c r="C46" s="97">
        <f>SUM(D46:J46)</f>
        <v>34559.2</v>
      </c>
      <c r="D46" s="116">
        <f aca="true" t="shared" si="22" ref="D46:J46">SUM(D52+D65)</f>
        <v>34559.2</v>
      </c>
      <c r="E46" s="116">
        <f t="shared" si="22"/>
        <v>0</v>
      </c>
      <c r="F46" s="111">
        <f t="shared" si="22"/>
        <v>0</v>
      </c>
      <c r="G46" s="15">
        <f t="shared" si="22"/>
        <v>0</v>
      </c>
      <c r="H46" s="15">
        <f t="shared" si="22"/>
        <v>0</v>
      </c>
      <c r="I46" s="15">
        <f t="shared" si="22"/>
        <v>0</v>
      </c>
      <c r="J46" s="15">
        <f t="shared" si="22"/>
        <v>0</v>
      </c>
      <c r="K46" s="73"/>
    </row>
    <row r="47" spans="1:11" s="8" customFormat="1" ht="15" customHeight="1">
      <c r="A47" s="103">
        <v>25</v>
      </c>
      <c r="B47" s="10" t="s">
        <v>603</v>
      </c>
      <c r="C47" s="97">
        <f>SUM(D47:J47)</f>
        <v>0</v>
      </c>
      <c r="D47" s="116"/>
      <c r="E47" s="15"/>
      <c r="F47" s="111"/>
      <c r="G47" s="15"/>
      <c r="H47" s="15"/>
      <c r="I47" s="15"/>
      <c r="J47" s="15"/>
      <c r="K47" s="73"/>
    </row>
    <row r="48" spans="1:11" s="8" customFormat="1" ht="15" customHeight="1">
      <c r="A48" s="174"/>
      <c r="B48" s="233" t="s">
        <v>605</v>
      </c>
      <c r="C48" s="234"/>
      <c r="D48" s="234"/>
      <c r="E48" s="234"/>
      <c r="F48" s="234"/>
      <c r="G48" s="234"/>
      <c r="H48" s="234"/>
      <c r="I48" s="234"/>
      <c r="J48" s="234"/>
      <c r="K48" s="235"/>
    </row>
    <row r="49" spans="1:11" s="39" customFormat="1" ht="45.75" customHeight="1">
      <c r="A49" s="103">
        <v>26</v>
      </c>
      <c r="B49" s="43" t="s">
        <v>277</v>
      </c>
      <c r="C49" s="97">
        <f>SUM(C50:C53)</f>
        <v>49099.123</v>
      </c>
      <c r="D49" s="97">
        <f aca="true" t="shared" si="23" ref="D49:J49">SUM(D50:D53)</f>
        <v>49099.123</v>
      </c>
      <c r="E49" s="97">
        <f t="shared" si="23"/>
        <v>0</v>
      </c>
      <c r="F49" s="120">
        <f t="shared" si="23"/>
        <v>0</v>
      </c>
      <c r="G49" s="18">
        <f t="shared" si="23"/>
        <v>0</v>
      </c>
      <c r="H49" s="18">
        <f t="shared" si="23"/>
        <v>0</v>
      </c>
      <c r="I49" s="18">
        <f t="shared" si="23"/>
        <v>0</v>
      </c>
      <c r="J49" s="18">
        <f t="shared" si="23"/>
        <v>0</v>
      </c>
      <c r="K49" s="73"/>
    </row>
    <row r="50" spans="1:11" s="8" customFormat="1" ht="15" customHeight="1">
      <c r="A50" s="103">
        <v>27</v>
      </c>
      <c r="B50" s="10" t="s">
        <v>600</v>
      </c>
      <c r="C50" s="97">
        <f>SUM(D50:J50)</f>
        <v>1737.823</v>
      </c>
      <c r="D50" s="152">
        <f aca="true" t="shared" si="24" ref="D50:E52">SUM(D56)</f>
        <v>1737.823</v>
      </c>
      <c r="E50" s="152">
        <f t="shared" si="24"/>
        <v>0</v>
      </c>
      <c r="F50" s="158"/>
      <c r="G50" s="17"/>
      <c r="H50" s="17"/>
      <c r="I50" s="17"/>
      <c r="J50" s="17"/>
      <c r="K50" s="73"/>
    </row>
    <row r="51" spans="1:11" s="8" customFormat="1" ht="15" customHeight="1">
      <c r="A51" s="103">
        <v>28</v>
      </c>
      <c r="B51" s="10" t="s">
        <v>601</v>
      </c>
      <c r="C51" s="97">
        <f>SUM(D51:J51)</f>
        <v>12802.1</v>
      </c>
      <c r="D51" s="152">
        <f t="shared" si="24"/>
        <v>12802.1</v>
      </c>
      <c r="E51" s="152">
        <f t="shared" si="24"/>
        <v>0</v>
      </c>
      <c r="F51" s="158"/>
      <c r="G51" s="17"/>
      <c r="H51" s="17"/>
      <c r="I51" s="17"/>
      <c r="J51" s="17"/>
      <c r="K51" s="73"/>
    </row>
    <row r="52" spans="1:11" s="8" customFormat="1" ht="15" customHeight="1">
      <c r="A52" s="103">
        <v>29</v>
      </c>
      <c r="B52" s="10" t="s">
        <v>602</v>
      </c>
      <c r="C52" s="97">
        <f>SUM(D52:J52)</f>
        <v>34559.2</v>
      </c>
      <c r="D52" s="152">
        <f t="shared" si="24"/>
        <v>34559.2</v>
      </c>
      <c r="E52" s="152">
        <f t="shared" si="24"/>
        <v>0</v>
      </c>
      <c r="F52" s="158"/>
      <c r="G52" s="17"/>
      <c r="H52" s="17"/>
      <c r="I52" s="17"/>
      <c r="J52" s="17"/>
      <c r="K52" s="73"/>
    </row>
    <row r="53" spans="1:11" s="8" customFormat="1" ht="15" customHeight="1">
      <c r="A53" s="103">
        <v>30</v>
      </c>
      <c r="B53" s="10" t="s">
        <v>603</v>
      </c>
      <c r="C53" s="97">
        <f>SUM(D53:J53)</f>
        <v>0</v>
      </c>
      <c r="D53" s="111">
        <v>0</v>
      </c>
      <c r="E53" s="116">
        <v>0</v>
      </c>
      <c r="F53" s="111"/>
      <c r="G53" s="15"/>
      <c r="H53" s="15"/>
      <c r="I53" s="15"/>
      <c r="J53" s="15"/>
      <c r="K53" s="73"/>
    </row>
    <row r="54" spans="1:11" s="8" customFormat="1" ht="15" customHeight="1">
      <c r="A54" s="103"/>
      <c r="B54" s="10"/>
      <c r="C54" s="97"/>
      <c r="D54" s="158"/>
      <c r="E54" s="152"/>
      <c r="F54" s="158"/>
      <c r="G54" s="17"/>
      <c r="H54" s="17"/>
      <c r="I54" s="17"/>
      <c r="J54" s="17"/>
      <c r="K54" s="73"/>
    </row>
    <row r="55" spans="1:11" s="8" customFormat="1" ht="50.25" customHeight="1">
      <c r="A55" s="103">
        <v>31</v>
      </c>
      <c r="B55" s="43" t="s">
        <v>281</v>
      </c>
      <c r="C55" s="97">
        <f>SUM(C56:C59)</f>
        <v>49099.123</v>
      </c>
      <c r="D55" s="97">
        <f aca="true" t="shared" si="25" ref="D55:J55">SUM(D56:D59)</f>
        <v>49099.123</v>
      </c>
      <c r="E55" s="97">
        <f t="shared" si="25"/>
        <v>0</v>
      </c>
      <c r="F55" s="120">
        <f t="shared" si="25"/>
        <v>0</v>
      </c>
      <c r="G55" s="18">
        <f t="shared" si="25"/>
        <v>0</v>
      </c>
      <c r="H55" s="18">
        <f t="shared" si="25"/>
        <v>0</v>
      </c>
      <c r="I55" s="18">
        <f t="shared" si="25"/>
        <v>0</v>
      </c>
      <c r="J55" s="18">
        <f t="shared" si="25"/>
        <v>0</v>
      </c>
      <c r="K55" s="73" t="s">
        <v>404</v>
      </c>
    </row>
    <row r="56" spans="1:11" s="8" customFormat="1" ht="15" customHeight="1">
      <c r="A56" s="103">
        <v>32</v>
      </c>
      <c r="B56" s="10" t="s">
        <v>600</v>
      </c>
      <c r="C56" s="97">
        <f>SUM(D56:J56)</f>
        <v>1737.823</v>
      </c>
      <c r="D56" s="111">
        <v>1737.823</v>
      </c>
      <c r="E56" s="116"/>
      <c r="F56" s="111"/>
      <c r="G56" s="15"/>
      <c r="H56" s="15"/>
      <c r="I56" s="15"/>
      <c r="J56" s="15"/>
      <c r="K56" s="73"/>
    </row>
    <row r="57" spans="1:11" s="8" customFormat="1" ht="15" customHeight="1">
      <c r="A57" s="103">
        <v>33</v>
      </c>
      <c r="B57" s="10" t="s">
        <v>601</v>
      </c>
      <c r="C57" s="97">
        <f>SUM(D57:J57)</f>
        <v>12802.1</v>
      </c>
      <c r="D57" s="111">
        <v>12802.1</v>
      </c>
      <c r="E57" s="116"/>
      <c r="F57" s="111"/>
      <c r="G57" s="15"/>
      <c r="H57" s="15"/>
      <c r="I57" s="15"/>
      <c r="J57" s="15"/>
      <c r="K57" s="73"/>
    </row>
    <row r="58" spans="1:11" s="8" customFormat="1" ht="15" customHeight="1">
      <c r="A58" s="103">
        <v>34</v>
      </c>
      <c r="B58" s="10" t="s">
        <v>602</v>
      </c>
      <c r="C58" s="97">
        <f>SUM(D58:J58)</f>
        <v>34559.2</v>
      </c>
      <c r="D58" s="111">
        <v>34559.2</v>
      </c>
      <c r="E58" s="116"/>
      <c r="F58" s="111"/>
      <c r="G58" s="15"/>
      <c r="H58" s="15"/>
      <c r="I58" s="15"/>
      <c r="J58" s="15"/>
      <c r="K58" s="73"/>
    </row>
    <row r="59" spans="1:11" s="8" customFormat="1" ht="15" customHeight="1">
      <c r="A59" s="103">
        <v>35</v>
      </c>
      <c r="B59" s="10" t="s">
        <v>603</v>
      </c>
      <c r="C59" s="97">
        <f>SUM(D59:J59)</f>
        <v>0</v>
      </c>
      <c r="D59" s="111">
        <v>0</v>
      </c>
      <c r="E59" s="116"/>
      <c r="F59" s="111"/>
      <c r="G59" s="15"/>
      <c r="H59" s="15"/>
      <c r="I59" s="15"/>
      <c r="J59" s="15"/>
      <c r="K59" s="73"/>
    </row>
    <row r="60" spans="1:11" s="8" customFormat="1" ht="15" customHeight="1">
      <c r="A60" s="103"/>
      <c r="B60" s="10"/>
      <c r="C60" s="97"/>
      <c r="D60" s="111"/>
      <c r="E60" s="152"/>
      <c r="F60" s="158"/>
      <c r="G60" s="17"/>
      <c r="H60" s="17"/>
      <c r="I60" s="17"/>
      <c r="J60" s="17"/>
      <c r="K60" s="73"/>
    </row>
    <row r="61" spans="1:11" s="8" customFormat="1" ht="15" customHeight="1">
      <c r="A61" s="174"/>
      <c r="B61" s="233" t="s">
        <v>10</v>
      </c>
      <c r="C61" s="234"/>
      <c r="D61" s="234"/>
      <c r="E61" s="234"/>
      <c r="F61" s="234"/>
      <c r="G61" s="234"/>
      <c r="H61" s="234"/>
      <c r="I61" s="234"/>
      <c r="J61" s="234"/>
      <c r="K61" s="235"/>
    </row>
    <row r="62" spans="1:11" s="41" customFormat="1" ht="31.5">
      <c r="A62" s="99">
        <v>36</v>
      </c>
      <c r="B62" s="46" t="s">
        <v>278</v>
      </c>
      <c r="C62" s="120">
        <f>SUM(C63:C66)</f>
        <v>0</v>
      </c>
      <c r="D62" s="114">
        <f aca="true" t="shared" si="26" ref="D62:J62">SUM(D64:D66)</f>
        <v>0</v>
      </c>
      <c r="E62" s="114">
        <f>SUM(E63:E66)</f>
        <v>0</v>
      </c>
      <c r="F62" s="114">
        <f>SUM(F63:F66)</f>
        <v>0</v>
      </c>
      <c r="G62" s="35">
        <f t="shared" si="26"/>
        <v>0</v>
      </c>
      <c r="H62" s="35">
        <f t="shared" si="26"/>
        <v>0</v>
      </c>
      <c r="I62" s="35">
        <f t="shared" si="26"/>
        <v>0</v>
      </c>
      <c r="J62" s="35">
        <f t="shared" si="26"/>
        <v>0</v>
      </c>
      <c r="K62" s="76"/>
    </row>
    <row r="63" spans="1:11" s="14" customFormat="1" ht="15" customHeight="1">
      <c r="A63" s="99">
        <v>37</v>
      </c>
      <c r="B63" s="10" t="s">
        <v>600</v>
      </c>
      <c r="C63" s="120">
        <f>SUM(D63:J63)</f>
        <v>0</v>
      </c>
      <c r="D63" s="121"/>
      <c r="E63" s="121"/>
      <c r="F63" s="121"/>
      <c r="G63" s="29"/>
      <c r="H63" s="29"/>
      <c r="I63" s="29"/>
      <c r="J63" s="29"/>
      <c r="K63" s="77"/>
    </row>
    <row r="64" spans="1:11" s="31" customFormat="1" ht="15" customHeight="1">
      <c r="A64" s="99">
        <v>38</v>
      </c>
      <c r="B64" s="10" t="s">
        <v>601</v>
      </c>
      <c r="C64" s="120">
        <f>SUM(D64:J64)</f>
        <v>0</v>
      </c>
      <c r="D64" s="95"/>
      <c r="E64" s="153"/>
      <c r="F64" s="153"/>
      <c r="G64" s="30"/>
      <c r="H64" s="30"/>
      <c r="I64" s="30"/>
      <c r="J64" s="30"/>
      <c r="K64" s="78"/>
    </row>
    <row r="65" spans="1:11" s="14" customFormat="1" ht="15" customHeight="1">
      <c r="A65" s="99">
        <v>39</v>
      </c>
      <c r="B65" s="10" t="s">
        <v>602</v>
      </c>
      <c r="C65" s="120">
        <f>SUM(D65:J65)</f>
        <v>0</v>
      </c>
      <c r="D65" s="121"/>
      <c r="E65" s="121"/>
      <c r="F65" s="121"/>
      <c r="G65" s="29"/>
      <c r="H65" s="29"/>
      <c r="I65" s="29"/>
      <c r="J65" s="29"/>
      <c r="K65" s="77"/>
    </row>
    <row r="66" spans="1:11" s="14" customFormat="1" ht="15" customHeight="1">
      <c r="A66" s="99">
        <v>40</v>
      </c>
      <c r="B66" s="10" t="s">
        <v>603</v>
      </c>
      <c r="C66" s="120">
        <f>SUM(D66:J66)</f>
        <v>0</v>
      </c>
      <c r="D66" s="121"/>
      <c r="E66" s="121"/>
      <c r="F66" s="121"/>
      <c r="G66" s="29"/>
      <c r="H66" s="29"/>
      <c r="I66" s="29"/>
      <c r="J66" s="29"/>
      <c r="K66" s="77"/>
    </row>
    <row r="67" spans="1:11" s="14" customFormat="1" ht="15" customHeight="1">
      <c r="A67" s="102"/>
      <c r="B67" s="10"/>
      <c r="C67" s="114"/>
      <c r="D67" s="121"/>
      <c r="E67" s="121"/>
      <c r="F67" s="121"/>
      <c r="G67" s="29"/>
      <c r="H67" s="29"/>
      <c r="I67" s="29"/>
      <c r="J67" s="29"/>
      <c r="K67" s="77"/>
    </row>
    <row r="68" spans="1:11" s="8" customFormat="1" ht="15" customHeight="1">
      <c r="A68" s="173"/>
      <c r="B68" s="224" t="s">
        <v>2</v>
      </c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s="39" customFormat="1" ht="21.75" customHeight="1">
      <c r="A69" s="103">
        <v>41</v>
      </c>
      <c r="B69" s="43" t="s">
        <v>3</v>
      </c>
      <c r="C69" s="97">
        <f>SUM(C70:C73)</f>
        <v>1997327.7680000002</v>
      </c>
      <c r="D69" s="97">
        <f aca="true" t="shared" si="27" ref="D69:J69">SUM(D70:D73)</f>
        <v>237647.519</v>
      </c>
      <c r="E69" s="120">
        <f t="shared" si="27"/>
        <v>313283.712</v>
      </c>
      <c r="F69" s="120">
        <f t="shared" si="27"/>
        <v>268895.537</v>
      </c>
      <c r="G69" s="18">
        <f t="shared" si="27"/>
        <v>278873</v>
      </c>
      <c r="H69" s="18">
        <f t="shared" si="27"/>
        <v>298876</v>
      </c>
      <c r="I69" s="18">
        <f t="shared" si="27"/>
        <v>299876</v>
      </c>
      <c r="J69" s="18">
        <f t="shared" si="27"/>
        <v>299876</v>
      </c>
      <c r="K69" s="72"/>
    </row>
    <row r="70" spans="1:11" s="8" customFormat="1" ht="15" customHeight="1">
      <c r="A70" s="103">
        <v>42</v>
      </c>
      <c r="B70" s="10" t="s">
        <v>600</v>
      </c>
      <c r="C70" s="97">
        <f>SUM(D70:J70)</f>
        <v>838832.968</v>
      </c>
      <c r="D70" s="95">
        <f aca="true" t="shared" si="28" ref="D70:J70">SUM(D76+D86+D113+D118+D121)</f>
        <v>107069.519</v>
      </c>
      <c r="E70" s="95">
        <f t="shared" si="28"/>
        <v>144100.712</v>
      </c>
      <c r="F70" s="95">
        <f t="shared" si="28"/>
        <v>79206.73700000001</v>
      </c>
      <c r="G70" s="34">
        <f t="shared" si="28"/>
        <v>126176</v>
      </c>
      <c r="H70" s="34">
        <f t="shared" si="28"/>
        <v>126760</v>
      </c>
      <c r="I70" s="34">
        <f t="shared" si="28"/>
        <v>127760</v>
      </c>
      <c r="J70" s="34">
        <f t="shared" si="28"/>
        <v>127760</v>
      </c>
      <c r="K70" s="73"/>
    </row>
    <row r="71" spans="1:11" s="8" customFormat="1" ht="15" customHeight="1">
      <c r="A71" s="103">
        <v>43</v>
      </c>
      <c r="B71" s="10" t="s">
        <v>601</v>
      </c>
      <c r="C71" s="97">
        <f>SUM(D71:J71)</f>
        <v>0</v>
      </c>
      <c r="D71" s="95"/>
      <c r="E71" s="95"/>
      <c r="F71" s="95"/>
      <c r="G71" s="22"/>
      <c r="H71" s="22"/>
      <c r="I71" s="22"/>
      <c r="J71" s="22"/>
      <c r="K71" s="73"/>
    </row>
    <row r="72" spans="1:11" s="8" customFormat="1" ht="15" customHeight="1">
      <c r="A72" s="103">
        <v>44</v>
      </c>
      <c r="B72" s="10" t="s">
        <v>602</v>
      </c>
      <c r="C72" s="97">
        <f>SUM(D72:J72)</f>
        <v>889494.8</v>
      </c>
      <c r="D72" s="118">
        <f aca="true" t="shared" si="29" ref="D72:J72">SUM(D87+D110+D114+D122)</f>
        <v>99578</v>
      </c>
      <c r="E72" s="96">
        <f t="shared" si="29"/>
        <v>131183</v>
      </c>
      <c r="F72" s="96">
        <f t="shared" si="29"/>
        <v>149688.8</v>
      </c>
      <c r="G72" s="21">
        <f t="shared" si="29"/>
        <v>112697</v>
      </c>
      <c r="H72" s="21">
        <f t="shared" si="29"/>
        <v>132116</v>
      </c>
      <c r="I72" s="21">
        <f t="shared" si="29"/>
        <v>132116</v>
      </c>
      <c r="J72" s="21">
        <f t="shared" si="29"/>
        <v>132116</v>
      </c>
      <c r="K72" s="79"/>
    </row>
    <row r="73" spans="1:11" s="8" customFormat="1" ht="15" customHeight="1">
      <c r="A73" s="103">
        <v>45</v>
      </c>
      <c r="B73" s="12" t="s">
        <v>603</v>
      </c>
      <c r="C73" s="97">
        <f>SUM(D73:J73)</f>
        <v>269000</v>
      </c>
      <c r="D73" s="95">
        <f>SUM(D115)</f>
        <v>31000</v>
      </c>
      <c r="E73" s="95">
        <f aca="true" t="shared" si="30" ref="E73:J73">SUM(E115)</f>
        <v>38000</v>
      </c>
      <c r="F73" s="95">
        <f t="shared" si="30"/>
        <v>40000</v>
      </c>
      <c r="G73" s="22">
        <f t="shared" si="30"/>
        <v>40000</v>
      </c>
      <c r="H73" s="22">
        <f t="shared" si="30"/>
        <v>40000</v>
      </c>
      <c r="I73" s="22">
        <f t="shared" si="30"/>
        <v>40000</v>
      </c>
      <c r="J73" s="22">
        <f t="shared" si="30"/>
        <v>40000</v>
      </c>
      <c r="K73" s="73"/>
    </row>
    <row r="74" spans="1:11" s="8" customFormat="1" ht="15" customHeight="1">
      <c r="A74" s="103"/>
      <c r="B74" s="12"/>
      <c r="C74" s="97"/>
      <c r="D74" s="96"/>
      <c r="E74" s="96"/>
      <c r="F74" s="96"/>
      <c r="G74" s="21"/>
      <c r="H74" s="21"/>
      <c r="I74" s="21"/>
      <c r="J74" s="21"/>
      <c r="K74" s="73"/>
    </row>
    <row r="75" spans="1:11" s="41" customFormat="1" ht="50.25" customHeight="1">
      <c r="A75" s="99">
        <v>46</v>
      </c>
      <c r="B75" s="46" t="s">
        <v>282</v>
      </c>
      <c r="C75" s="120">
        <f>SUM(C76)</f>
        <v>10250</v>
      </c>
      <c r="D75" s="120">
        <f aca="true" t="shared" si="31" ref="D75:J75">SUM(D78:D83)</f>
        <v>0</v>
      </c>
      <c r="E75" s="120">
        <f t="shared" si="31"/>
        <v>250</v>
      </c>
      <c r="F75" s="120">
        <f t="shared" si="31"/>
        <v>0</v>
      </c>
      <c r="G75" s="40">
        <f t="shared" si="31"/>
        <v>0</v>
      </c>
      <c r="H75" s="40">
        <f t="shared" si="31"/>
        <v>2000</v>
      </c>
      <c r="I75" s="40">
        <f t="shared" si="31"/>
        <v>4000</v>
      </c>
      <c r="J75" s="40">
        <f t="shared" si="31"/>
        <v>4000</v>
      </c>
      <c r="K75" s="77" t="s">
        <v>405</v>
      </c>
    </row>
    <row r="76" spans="1:11" s="14" customFormat="1" ht="15" customHeight="1">
      <c r="A76" s="99">
        <v>47</v>
      </c>
      <c r="B76" s="28" t="s">
        <v>600</v>
      </c>
      <c r="C76" s="120">
        <f>SUM(C78:C83)</f>
        <v>10250</v>
      </c>
      <c r="D76" s="121">
        <f>SUM(D78:D82)</f>
        <v>0</v>
      </c>
      <c r="E76" s="121">
        <f aca="true" t="shared" si="32" ref="E76:J76">SUM(E78:E83)</f>
        <v>250</v>
      </c>
      <c r="F76" s="121">
        <f t="shared" si="32"/>
        <v>0</v>
      </c>
      <c r="G76" s="29">
        <f t="shared" si="32"/>
        <v>0</v>
      </c>
      <c r="H76" s="29">
        <f t="shared" si="32"/>
        <v>2000</v>
      </c>
      <c r="I76" s="29">
        <f t="shared" si="32"/>
        <v>4000</v>
      </c>
      <c r="J76" s="29">
        <f t="shared" si="32"/>
        <v>4000</v>
      </c>
      <c r="K76" s="77"/>
    </row>
    <row r="77" spans="1:11" s="31" customFormat="1" ht="15" customHeight="1">
      <c r="A77" s="99"/>
      <c r="B77" s="32" t="s">
        <v>6</v>
      </c>
      <c r="C77" s="161"/>
      <c r="D77" s="153"/>
      <c r="E77" s="153"/>
      <c r="F77" s="153"/>
      <c r="G77" s="30"/>
      <c r="H77" s="30"/>
      <c r="I77" s="30"/>
      <c r="J77" s="30"/>
      <c r="K77" s="78"/>
    </row>
    <row r="78" spans="1:11" s="14" customFormat="1" ht="15" customHeight="1">
      <c r="A78" s="99">
        <v>48</v>
      </c>
      <c r="B78" s="32" t="s">
        <v>13</v>
      </c>
      <c r="C78" s="120">
        <f aca="true" t="shared" si="33" ref="C78:C83">SUM(D78:J78)</f>
        <v>2000</v>
      </c>
      <c r="D78" s="121"/>
      <c r="E78" s="121"/>
      <c r="F78" s="121"/>
      <c r="G78" s="29"/>
      <c r="H78" s="29">
        <v>2000</v>
      </c>
      <c r="I78" s="29"/>
      <c r="J78" s="29"/>
      <c r="K78" s="77"/>
    </row>
    <row r="79" spans="1:11" s="14" customFormat="1" ht="15" customHeight="1">
      <c r="A79" s="99">
        <v>49</v>
      </c>
      <c r="B79" s="32" t="s">
        <v>69</v>
      </c>
      <c r="C79" s="120">
        <f t="shared" si="33"/>
        <v>2000</v>
      </c>
      <c r="D79" s="121"/>
      <c r="E79" s="121"/>
      <c r="F79" s="121"/>
      <c r="G79" s="29"/>
      <c r="H79" s="29"/>
      <c r="I79" s="29">
        <v>2000</v>
      </c>
      <c r="J79" s="29"/>
      <c r="K79" s="77"/>
    </row>
    <row r="80" spans="1:11" s="14" customFormat="1" ht="15" customHeight="1">
      <c r="A80" s="99">
        <v>50</v>
      </c>
      <c r="B80" s="32" t="s">
        <v>70</v>
      </c>
      <c r="C80" s="120">
        <f t="shared" si="33"/>
        <v>2000</v>
      </c>
      <c r="D80" s="121"/>
      <c r="E80" s="121"/>
      <c r="F80" s="121"/>
      <c r="G80" s="29"/>
      <c r="H80" s="29"/>
      <c r="I80" s="29"/>
      <c r="J80" s="29">
        <v>2000</v>
      </c>
      <c r="K80" s="77"/>
    </row>
    <row r="81" spans="1:11" s="14" customFormat="1" ht="15" customHeight="1">
      <c r="A81" s="99">
        <v>51</v>
      </c>
      <c r="B81" s="32" t="s">
        <v>71</v>
      </c>
      <c r="C81" s="120">
        <f t="shared" si="33"/>
        <v>2000</v>
      </c>
      <c r="D81" s="121"/>
      <c r="E81" s="121"/>
      <c r="F81" s="121"/>
      <c r="G81" s="29"/>
      <c r="H81" s="29"/>
      <c r="I81" s="29">
        <v>2000</v>
      </c>
      <c r="J81" s="29"/>
      <c r="K81" s="77"/>
    </row>
    <row r="82" spans="1:11" s="14" customFormat="1" ht="15" customHeight="1">
      <c r="A82" s="99">
        <v>52</v>
      </c>
      <c r="B82" s="32" t="s">
        <v>59</v>
      </c>
      <c r="C82" s="120">
        <f t="shared" si="33"/>
        <v>2000</v>
      </c>
      <c r="D82" s="121"/>
      <c r="E82" s="121"/>
      <c r="F82" s="121"/>
      <c r="G82" s="29"/>
      <c r="H82" s="29"/>
      <c r="I82" s="29"/>
      <c r="J82" s="29">
        <v>2000</v>
      </c>
      <c r="K82" s="77"/>
    </row>
    <row r="83" spans="1:11" s="8" customFormat="1" ht="15" customHeight="1">
      <c r="A83" s="104">
        <v>53</v>
      </c>
      <c r="B83" s="87" t="s">
        <v>58</v>
      </c>
      <c r="C83" s="120">
        <f t="shared" si="33"/>
        <v>250</v>
      </c>
      <c r="D83" s="116"/>
      <c r="E83" s="111">
        <v>250</v>
      </c>
      <c r="F83" s="111"/>
      <c r="G83" s="15"/>
      <c r="H83" s="15"/>
      <c r="I83" s="15"/>
      <c r="J83" s="15"/>
      <c r="K83" s="73"/>
    </row>
    <row r="84" spans="1:11" s="8" customFormat="1" ht="15" customHeight="1">
      <c r="A84" s="103"/>
      <c r="B84" s="87"/>
      <c r="C84" s="97"/>
      <c r="D84" s="152"/>
      <c r="E84" s="158"/>
      <c r="F84" s="158"/>
      <c r="G84" s="17"/>
      <c r="H84" s="17"/>
      <c r="I84" s="17"/>
      <c r="J84" s="17"/>
      <c r="K84" s="73"/>
    </row>
    <row r="85" spans="1:11" s="39" customFormat="1" ht="96" customHeight="1">
      <c r="A85" s="103">
        <v>54</v>
      </c>
      <c r="B85" s="43" t="s">
        <v>283</v>
      </c>
      <c r="C85" s="97">
        <f>SUM(C89:C107)</f>
        <v>27285.479</v>
      </c>
      <c r="D85" s="97">
        <f>SUM(D86:D87)</f>
        <v>144</v>
      </c>
      <c r="E85" s="120">
        <f aca="true" t="shared" si="34" ref="E85:J85">SUM(E86:E87)</f>
        <v>2691.479</v>
      </c>
      <c r="F85" s="120">
        <f t="shared" si="34"/>
        <v>100</v>
      </c>
      <c r="G85" s="18">
        <f>SUM(G86:G87)</f>
        <v>17350</v>
      </c>
      <c r="H85" s="18">
        <f t="shared" si="34"/>
        <v>3000</v>
      </c>
      <c r="I85" s="18">
        <f t="shared" si="34"/>
        <v>2000</v>
      </c>
      <c r="J85" s="18">
        <f t="shared" si="34"/>
        <v>2000</v>
      </c>
      <c r="K85" s="73" t="s">
        <v>406</v>
      </c>
    </row>
    <row r="86" spans="1:11" s="8" customFormat="1" ht="15" customHeight="1">
      <c r="A86" s="103">
        <v>55</v>
      </c>
      <c r="B86" s="10" t="s">
        <v>600</v>
      </c>
      <c r="C86" s="97">
        <f>SUM(D86:J86)</f>
        <v>27285.479</v>
      </c>
      <c r="D86" s="17">
        <f aca="true" t="shared" si="35" ref="D86:J86">SUM(D89+D90+D91+D92+D93+D94+D95+D96+D97+D98+D100+D101+D102+D103+D104+D105+D106+D107)</f>
        <v>144</v>
      </c>
      <c r="E86" s="17">
        <f t="shared" si="35"/>
        <v>2691.479</v>
      </c>
      <c r="F86" s="17">
        <f t="shared" si="35"/>
        <v>100</v>
      </c>
      <c r="G86" s="17">
        <f t="shared" si="35"/>
        <v>17350</v>
      </c>
      <c r="H86" s="17">
        <f t="shared" si="35"/>
        <v>3000</v>
      </c>
      <c r="I86" s="17">
        <f t="shared" si="35"/>
        <v>2000</v>
      </c>
      <c r="J86" s="17">
        <f t="shared" si="35"/>
        <v>2000</v>
      </c>
      <c r="K86" s="79"/>
    </row>
    <row r="87" spans="1:11" s="8" customFormat="1" ht="15" customHeight="1">
      <c r="A87" s="103">
        <v>56</v>
      </c>
      <c r="B87" s="10" t="s">
        <v>602</v>
      </c>
      <c r="C87" s="97">
        <f>SUM(D87:J87)</f>
        <v>0</v>
      </c>
      <c r="D87" s="152"/>
      <c r="E87" s="158"/>
      <c r="F87" s="158"/>
      <c r="G87" s="17"/>
      <c r="H87" s="17"/>
      <c r="I87" s="17"/>
      <c r="J87" s="17"/>
      <c r="K87" s="79"/>
    </row>
    <row r="88" spans="1:11" s="13" customFormat="1" ht="15.75">
      <c r="A88" s="100"/>
      <c r="B88" s="10" t="s">
        <v>7</v>
      </c>
      <c r="C88" s="162"/>
      <c r="D88" s="154"/>
      <c r="E88" s="153"/>
      <c r="F88" s="153"/>
      <c r="G88" s="20"/>
      <c r="H88" s="20"/>
      <c r="I88" s="20"/>
      <c r="J88" s="20"/>
      <c r="K88" s="75"/>
    </row>
    <row r="89" spans="1:11" s="8" customFormat="1" ht="15.75">
      <c r="A89" s="103">
        <v>57</v>
      </c>
      <c r="B89" s="10" t="s">
        <v>72</v>
      </c>
      <c r="C89" s="120">
        <f>SUM(D89:J89)</f>
        <v>5000</v>
      </c>
      <c r="D89" s="121">
        <f>1500-300-1200</f>
        <v>0</v>
      </c>
      <c r="E89" s="121">
        <v>0</v>
      </c>
      <c r="F89" s="121"/>
      <c r="G89" s="29">
        <v>5000</v>
      </c>
      <c r="H89" s="29"/>
      <c r="I89" s="19"/>
      <c r="J89" s="19"/>
      <c r="K89" s="73"/>
    </row>
    <row r="90" spans="1:11" s="8" customFormat="1" ht="15.75">
      <c r="A90" s="103">
        <v>58</v>
      </c>
      <c r="B90" s="10" t="s">
        <v>14</v>
      </c>
      <c r="C90" s="120">
        <f>SUM(D90:J90)</f>
        <v>2144</v>
      </c>
      <c r="D90" s="121">
        <v>144</v>
      </c>
      <c r="E90" s="121"/>
      <c r="F90" s="121"/>
      <c r="G90" s="29"/>
      <c r="H90" s="29"/>
      <c r="I90" s="19"/>
      <c r="J90" s="19">
        <v>2000</v>
      </c>
      <c r="K90" s="73"/>
    </row>
    <row r="91" spans="1:11" s="8" customFormat="1" ht="15" customHeight="1">
      <c r="A91" s="103">
        <v>59</v>
      </c>
      <c r="B91" s="10" t="s">
        <v>73</v>
      </c>
      <c r="C91" s="120">
        <f aca="true" t="shared" si="36" ref="C91:C98">SUM(D91:J91)</f>
        <v>5000</v>
      </c>
      <c r="D91" s="121"/>
      <c r="E91" s="121">
        <f>2000-2000</f>
        <v>0</v>
      </c>
      <c r="F91" s="121">
        <f>3260-3260</f>
        <v>0</v>
      </c>
      <c r="G91" s="29">
        <v>5000</v>
      </c>
      <c r="H91" s="29"/>
      <c r="I91" s="19"/>
      <c r="J91" s="19"/>
      <c r="K91" s="73"/>
    </row>
    <row r="92" spans="1:11" s="8" customFormat="1" ht="15" customHeight="1">
      <c r="A92" s="103">
        <v>60</v>
      </c>
      <c r="B92" s="90" t="s">
        <v>382</v>
      </c>
      <c r="C92" s="120">
        <f t="shared" si="36"/>
        <v>1000</v>
      </c>
      <c r="D92" s="121"/>
      <c r="E92" s="121"/>
      <c r="F92" s="121"/>
      <c r="G92" s="29"/>
      <c r="H92" s="29">
        <v>1000</v>
      </c>
      <c r="I92" s="19"/>
      <c r="J92" s="19"/>
      <c r="K92" s="73"/>
    </row>
    <row r="93" spans="1:11" s="8" customFormat="1" ht="15" customHeight="1">
      <c r="A93" s="103">
        <v>61</v>
      </c>
      <c r="B93" s="10" t="s">
        <v>74</v>
      </c>
      <c r="C93" s="120">
        <f t="shared" si="36"/>
        <v>2441.479</v>
      </c>
      <c r="D93" s="121"/>
      <c r="E93" s="121">
        <f>266+875.8-159.65+858.954+600.375</f>
        <v>2441.479</v>
      </c>
      <c r="F93" s="121"/>
      <c r="G93" s="29"/>
      <c r="H93" s="29"/>
      <c r="I93" s="19"/>
      <c r="J93" s="19"/>
      <c r="K93" s="73"/>
    </row>
    <row r="94" spans="1:11" s="8" customFormat="1" ht="15" customHeight="1">
      <c r="A94" s="103">
        <v>62</v>
      </c>
      <c r="B94" s="10" t="s">
        <v>75</v>
      </c>
      <c r="C94" s="120">
        <f t="shared" si="36"/>
        <v>1000</v>
      </c>
      <c r="D94" s="121"/>
      <c r="E94" s="121"/>
      <c r="F94" s="121"/>
      <c r="G94" s="29">
        <f>2000-1000</f>
        <v>1000</v>
      </c>
      <c r="H94" s="29"/>
      <c r="I94" s="19"/>
      <c r="J94" s="19"/>
      <c r="K94" s="73"/>
    </row>
    <row r="95" spans="1:11" s="8" customFormat="1" ht="15" customHeight="1">
      <c r="A95" s="103">
        <v>63</v>
      </c>
      <c r="B95" s="10" t="s">
        <v>76</v>
      </c>
      <c r="C95" s="120">
        <f t="shared" si="36"/>
        <v>2000</v>
      </c>
      <c r="D95" s="121"/>
      <c r="E95" s="121"/>
      <c r="F95" s="121"/>
      <c r="G95" s="29"/>
      <c r="H95" s="29"/>
      <c r="I95" s="19">
        <v>2000</v>
      </c>
      <c r="J95" s="19"/>
      <c r="K95" s="73"/>
    </row>
    <row r="96" spans="1:11" s="8" customFormat="1" ht="15" customHeight="1">
      <c r="A96" s="103">
        <v>64</v>
      </c>
      <c r="B96" s="10" t="s">
        <v>77</v>
      </c>
      <c r="C96" s="120">
        <f t="shared" si="36"/>
        <v>3500</v>
      </c>
      <c r="D96" s="121"/>
      <c r="E96" s="121"/>
      <c r="F96" s="121"/>
      <c r="G96" s="29">
        <v>3500</v>
      </c>
      <c r="H96" s="29"/>
      <c r="I96" s="19"/>
      <c r="J96" s="19"/>
      <c r="K96" s="73"/>
    </row>
    <row r="97" spans="1:11" s="8" customFormat="1" ht="15" customHeight="1">
      <c r="A97" s="103">
        <v>65</v>
      </c>
      <c r="B97" s="10" t="s">
        <v>78</v>
      </c>
      <c r="C97" s="120">
        <f t="shared" si="36"/>
        <v>0</v>
      </c>
      <c r="D97" s="121"/>
      <c r="E97" s="121"/>
      <c r="F97" s="121"/>
      <c r="G97" s="29"/>
      <c r="H97" s="29"/>
      <c r="I97" s="19"/>
      <c r="J97" s="19"/>
      <c r="K97" s="73"/>
    </row>
    <row r="98" spans="1:11" s="8" customFormat="1" ht="15" customHeight="1">
      <c r="A98" s="103" t="s">
        <v>503</v>
      </c>
      <c r="B98" s="10" t="s">
        <v>497</v>
      </c>
      <c r="C98" s="120">
        <f t="shared" si="36"/>
        <v>2850</v>
      </c>
      <c r="D98" s="121"/>
      <c r="E98" s="121"/>
      <c r="F98" s="121"/>
      <c r="G98" s="29">
        <v>850</v>
      </c>
      <c r="H98" s="29">
        <v>2000</v>
      </c>
      <c r="I98" s="19"/>
      <c r="J98" s="19"/>
      <c r="K98" s="73"/>
    </row>
    <row r="99" spans="1:11" s="8" customFormat="1" ht="35.25" customHeight="1">
      <c r="A99" s="103"/>
      <c r="B99" s="10" t="s">
        <v>55</v>
      </c>
      <c r="C99" s="120"/>
      <c r="D99" s="121"/>
      <c r="E99" s="121"/>
      <c r="F99" s="121"/>
      <c r="G99" s="29"/>
      <c r="H99" s="29"/>
      <c r="I99" s="19"/>
      <c r="J99" s="19"/>
      <c r="K99" s="73"/>
    </row>
    <row r="100" spans="1:11" s="8" customFormat="1" ht="15" customHeight="1">
      <c r="A100" s="103" t="s">
        <v>504</v>
      </c>
      <c r="B100" s="12" t="s">
        <v>383</v>
      </c>
      <c r="C100" s="120">
        <f>SUM(D100:J100)</f>
        <v>250</v>
      </c>
      <c r="D100" s="121"/>
      <c r="E100" s="121">
        <f>250</f>
        <v>250</v>
      </c>
      <c r="F100" s="121"/>
      <c r="G100" s="29">
        <f>600-600</f>
        <v>0</v>
      </c>
      <c r="H100" s="29"/>
      <c r="I100" s="19"/>
      <c r="J100" s="19"/>
      <c r="K100" s="73"/>
    </row>
    <row r="101" spans="1:11" s="8" customFormat="1" ht="15" customHeight="1">
      <c r="A101" s="103" t="s">
        <v>505</v>
      </c>
      <c r="B101" s="12" t="s">
        <v>59</v>
      </c>
      <c r="C101" s="120">
        <f aca="true" t="shared" si="37" ref="C101:C107">SUM(D101:J101)</f>
        <v>300</v>
      </c>
      <c r="D101" s="121"/>
      <c r="E101" s="121">
        <f>266-266</f>
        <v>0</v>
      </c>
      <c r="F101" s="121"/>
      <c r="G101" s="29">
        <f>300</f>
        <v>300</v>
      </c>
      <c r="H101" s="29"/>
      <c r="I101" s="19"/>
      <c r="J101" s="19"/>
      <c r="K101" s="73"/>
    </row>
    <row r="102" spans="1:11" s="8" customFormat="1" ht="15" customHeight="1">
      <c r="A102" s="103" t="s">
        <v>506</v>
      </c>
      <c r="B102" s="12" t="s">
        <v>71</v>
      </c>
      <c r="C102" s="120">
        <f t="shared" si="37"/>
        <v>300</v>
      </c>
      <c r="D102" s="121"/>
      <c r="E102" s="121"/>
      <c r="F102" s="121"/>
      <c r="G102" s="29">
        <v>300</v>
      </c>
      <c r="H102" s="29"/>
      <c r="I102" s="19"/>
      <c r="J102" s="19"/>
      <c r="K102" s="73"/>
    </row>
    <row r="103" spans="1:11" s="8" customFormat="1" ht="15" customHeight="1">
      <c r="A103" s="103" t="s">
        <v>507</v>
      </c>
      <c r="B103" s="12" t="s">
        <v>384</v>
      </c>
      <c r="C103" s="120">
        <f t="shared" si="37"/>
        <v>100</v>
      </c>
      <c r="D103" s="121"/>
      <c r="E103" s="121">
        <f>250-250</f>
        <v>0</v>
      </c>
      <c r="F103" s="121">
        <f>100</f>
        <v>100</v>
      </c>
      <c r="G103" s="29"/>
      <c r="H103" s="29"/>
      <c r="I103" s="19"/>
      <c r="J103" s="19"/>
      <c r="K103" s="73"/>
    </row>
    <row r="104" spans="1:11" s="8" customFormat="1" ht="15" customHeight="1">
      <c r="A104" s="103" t="s">
        <v>508</v>
      </c>
      <c r="B104" s="12" t="s">
        <v>79</v>
      </c>
      <c r="C104" s="120">
        <f t="shared" si="37"/>
        <v>400</v>
      </c>
      <c r="D104" s="121"/>
      <c r="E104" s="121"/>
      <c r="F104" s="121"/>
      <c r="G104" s="29">
        <f>600-200</f>
        <v>400</v>
      </c>
      <c r="H104" s="29"/>
      <c r="I104" s="19"/>
      <c r="J104" s="19"/>
      <c r="K104" s="73"/>
    </row>
    <row r="105" spans="1:11" s="8" customFormat="1" ht="15" customHeight="1">
      <c r="A105" s="103" t="s">
        <v>509</v>
      </c>
      <c r="B105" s="12" t="s">
        <v>70</v>
      </c>
      <c r="C105" s="120">
        <f t="shared" si="37"/>
        <v>500</v>
      </c>
      <c r="D105" s="121"/>
      <c r="E105" s="121"/>
      <c r="F105" s="121"/>
      <c r="G105" s="29">
        <f>800-100-200</f>
        <v>500</v>
      </c>
      <c r="H105" s="29"/>
      <c r="I105" s="19"/>
      <c r="J105" s="19"/>
      <c r="K105" s="73"/>
    </row>
    <row r="106" spans="1:11" s="8" customFormat="1" ht="15" customHeight="1">
      <c r="A106" s="103" t="s">
        <v>510</v>
      </c>
      <c r="B106" s="12" t="s">
        <v>498</v>
      </c>
      <c r="C106" s="120">
        <f t="shared" si="37"/>
        <v>500</v>
      </c>
      <c r="D106" s="121"/>
      <c r="E106" s="121"/>
      <c r="F106" s="121"/>
      <c r="G106" s="29">
        <f>300+200</f>
        <v>500</v>
      </c>
      <c r="H106" s="29"/>
      <c r="I106" s="19"/>
      <c r="J106" s="19"/>
      <c r="K106" s="73"/>
    </row>
    <row r="107" spans="1:11" s="8" customFormat="1" ht="15" customHeight="1">
      <c r="A107" s="103" t="s">
        <v>511</v>
      </c>
      <c r="B107" s="12"/>
      <c r="C107" s="120">
        <f t="shared" si="37"/>
        <v>0</v>
      </c>
      <c r="D107" s="121"/>
      <c r="E107" s="121"/>
      <c r="F107" s="121"/>
      <c r="G107" s="29"/>
      <c r="H107" s="29"/>
      <c r="I107" s="19"/>
      <c r="J107" s="29"/>
      <c r="K107" s="73"/>
    </row>
    <row r="108" spans="1:11" s="8" customFormat="1" ht="15" customHeight="1">
      <c r="A108" s="103"/>
      <c r="B108" s="12"/>
      <c r="C108" s="97"/>
      <c r="D108" s="117"/>
      <c r="E108" s="95"/>
      <c r="F108" s="95"/>
      <c r="G108" s="22"/>
      <c r="H108" s="22"/>
      <c r="I108" s="22"/>
      <c r="J108" s="22"/>
      <c r="K108" s="73"/>
    </row>
    <row r="109" spans="1:11" s="39" customFormat="1" ht="81.75" customHeight="1">
      <c r="A109" s="103" t="s">
        <v>512</v>
      </c>
      <c r="B109" s="37" t="s">
        <v>284</v>
      </c>
      <c r="C109" s="115">
        <f>SUM(C110)</f>
        <v>862278.8</v>
      </c>
      <c r="D109" s="115">
        <f>SUM(D110)</f>
        <v>98262</v>
      </c>
      <c r="E109" s="114">
        <f aca="true" t="shared" si="38" ref="E109:J109">SUM(E110)</f>
        <v>105283</v>
      </c>
      <c r="F109" s="114">
        <f t="shared" si="38"/>
        <v>149688.8</v>
      </c>
      <c r="G109" s="16">
        <f t="shared" si="38"/>
        <v>112697</v>
      </c>
      <c r="H109" s="16">
        <f t="shared" si="38"/>
        <v>132116</v>
      </c>
      <c r="I109" s="16">
        <f t="shared" si="38"/>
        <v>132116</v>
      </c>
      <c r="J109" s="16">
        <f t="shared" si="38"/>
        <v>132116</v>
      </c>
      <c r="K109" s="73" t="s">
        <v>407</v>
      </c>
    </row>
    <row r="110" spans="1:11" s="8" customFormat="1" ht="15" customHeight="1">
      <c r="A110" s="103" t="s">
        <v>513</v>
      </c>
      <c r="B110" s="10" t="s">
        <v>602</v>
      </c>
      <c r="C110" s="97">
        <f>SUM(D110:J110)</f>
        <v>862278.8</v>
      </c>
      <c r="D110" s="95">
        <f>87177+6741+4344</f>
        <v>98262</v>
      </c>
      <c r="E110" s="95">
        <f>109598-4315</f>
        <v>105283</v>
      </c>
      <c r="F110" s="95">
        <f>150914-1225.2</f>
        <v>149688.8</v>
      </c>
      <c r="G110" s="34">
        <f>132116-19419</f>
        <v>112697</v>
      </c>
      <c r="H110" s="34">
        <v>132116</v>
      </c>
      <c r="I110" s="34">
        <v>132116</v>
      </c>
      <c r="J110" s="34">
        <v>132116</v>
      </c>
      <c r="K110" s="73"/>
    </row>
    <row r="111" spans="1:11" s="8" customFormat="1" ht="15" customHeight="1">
      <c r="A111" s="103"/>
      <c r="B111" s="89"/>
      <c r="C111" s="97"/>
      <c r="D111" s="95"/>
      <c r="E111" s="95"/>
      <c r="F111" s="95"/>
      <c r="G111" s="34"/>
      <c r="H111" s="34"/>
      <c r="I111" s="34"/>
      <c r="J111" s="34"/>
      <c r="K111" s="73"/>
    </row>
    <row r="112" spans="1:11" s="39" customFormat="1" ht="82.5" customHeight="1">
      <c r="A112" s="104" t="s">
        <v>514</v>
      </c>
      <c r="B112" s="38" t="s">
        <v>285</v>
      </c>
      <c r="C112" s="115">
        <f>SUM(C113:C115)</f>
        <v>1044189.032</v>
      </c>
      <c r="D112" s="115">
        <f aca="true" t="shared" si="39" ref="D112:J112">SUM(D113:D115)</f>
        <v>137034.519</v>
      </c>
      <c r="E112" s="114">
        <f t="shared" si="39"/>
        <v>153941.77599999998</v>
      </c>
      <c r="F112" s="114">
        <f t="shared" si="39"/>
        <v>119106.73700000001</v>
      </c>
      <c r="G112" s="16">
        <f t="shared" si="39"/>
        <v>148826</v>
      </c>
      <c r="H112" s="16">
        <f t="shared" si="39"/>
        <v>161760</v>
      </c>
      <c r="I112" s="16">
        <f t="shared" si="39"/>
        <v>161760</v>
      </c>
      <c r="J112" s="16">
        <f t="shared" si="39"/>
        <v>161760</v>
      </c>
      <c r="K112" s="73" t="s">
        <v>407</v>
      </c>
    </row>
    <row r="113" spans="1:11" s="8" customFormat="1" ht="15" customHeight="1">
      <c r="A113" s="103" t="s">
        <v>515</v>
      </c>
      <c r="B113" s="10" t="s">
        <v>600</v>
      </c>
      <c r="C113" s="97">
        <f>SUM(D113:J113)</f>
        <v>773873.032</v>
      </c>
      <c r="D113" s="95">
        <v>104718.519</v>
      </c>
      <c r="E113" s="95">
        <f>118131-150+159.65-1200-455.891-587.485+44.502</f>
        <v>115941.77599999998</v>
      </c>
      <c r="F113" s="95">
        <f>69537.1+4500+4741.615+250-100-200+178.022+200</f>
        <v>79106.73700000001</v>
      </c>
      <c r="G113" s="34">
        <f>126111-3934.4-13350.6</f>
        <v>108826</v>
      </c>
      <c r="H113" s="34">
        <v>121760</v>
      </c>
      <c r="I113" s="34">
        <v>121760</v>
      </c>
      <c r="J113" s="34">
        <v>121760</v>
      </c>
      <c r="K113" s="73"/>
    </row>
    <row r="114" spans="1:11" s="8" customFormat="1" ht="15" customHeight="1">
      <c r="A114" s="103" t="s">
        <v>516</v>
      </c>
      <c r="B114" s="12" t="s">
        <v>602</v>
      </c>
      <c r="C114" s="97">
        <f>SUM(D114:J114)</f>
        <v>1316</v>
      </c>
      <c r="D114" s="95">
        <v>1316</v>
      </c>
      <c r="E114" s="95"/>
      <c r="F114" s="95"/>
      <c r="G114" s="34"/>
      <c r="H114" s="34"/>
      <c r="I114" s="34"/>
      <c r="J114" s="34"/>
      <c r="K114" s="73"/>
    </row>
    <row r="115" spans="1:11" s="8" customFormat="1" ht="15" customHeight="1">
      <c r="A115" s="103" t="s">
        <v>517</v>
      </c>
      <c r="B115" s="10" t="s">
        <v>603</v>
      </c>
      <c r="C115" s="97">
        <f>SUM(D115:J115)</f>
        <v>269000</v>
      </c>
      <c r="D115" s="95">
        <v>31000</v>
      </c>
      <c r="E115" s="95">
        <v>38000</v>
      </c>
      <c r="F115" s="95">
        <v>40000</v>
      </c>
      <c r="G115" s="34">
        <v>40000</v>
      </c>
      <c r="H115" s="34">
        <v>40000</v>
      </c>
      <c r="I115" s="34">
        <v>40000</v>
      </c>
      <c r="J115" s="34">
        <v>40000</v>
      </c>
      <c r="K115" s="73"/>
    </row>
    <row r="116" spans="1:11" s="8" customFormat="1" ht="15" customHeight="1">
      <c r="A116" s="103"/>
      <c r="B116" s="89"/>
      <c r="C116" s="97"/>
      <c r="D116" s="95"/>
      <c r="E116" s="95"/>
      <c r="F116" s="95"/>
      <c r="G116" s="34"/>
      <c r="H116" s="34"/>
      <c r="I116" s="34"/>
      <c r="J116" s="34"/>
      <c r="K116" s="73"/>
    </row>
    <row r="117" spans="1:11" s="41" customFormat="1" ht="63">
      <c r="A117" s="102" t="s">
        <v>518</v>
      </c>
      <c r="B117" s="85" t="s">
        <v>286</v>
      </c>
      <c r="C117" s="114">
        <f aca="true" t="shared" si="40" ref="C117:J117">SUM(C118:C118)</f>
        <v>3103.2219999999998</v>
      </c>
      <c r="D117" s="114">
        <f t="shared" si="40"/>
        <v>2207</v>
      </c>
      <c r="E117" s="114">
        <f t="shared" si="40"/>
        <v>896.222</v>
      </c>
      <c r="F117" s="114">
        <f t="shared" si="40"/>
        <v>0</v>
      </c>
      <c r="G117" s="35">
        <f t="shared" si="40"/>
        <v>0</v>
      </c>
      <c r="H117" s="35">
        <f t="shared" si="40"/>
        <v>0</v>
      </c>
      <c r="I117" s="35">
        <f t="shared" si="40"/>
        <v>0</v>
      </c>
      <c r="J117" s="35">
        <f t="shared" si="40"/>
        <v>0</v>
      </c>
      <c r="K117" s="73" t="s">
        <v>404</v>
      </c>
    </row>
    <row r="118" spans="1:11" s="14" customFormat="1" ht="15.75">
      <c r="A118" s="99" t="s">
        <v>519</v>
      </c>
      <c r="B118" s="32" t="s">
        <v>600</v>
      </c>
      <c r="C118" s="120">
        <f>SUM(D118:J118)</f>
        <v>3103.2219999999998</v>
      </c>
      <c r="D118" s="111">
        <f>1000+1207</f>
        <v>2207</v>
      </c>
      <c r="E118" s="111">
        <f>505+391.3-0.078</f>
        <v>896.222</v>
      </c>
      <c r="F118" s="111"/>
      <c r="G118" s="52"/>
      <c r="H118" s="52"/>
      <c r="I118" s="52"/>
      <c r="J118" s="52"/>
      <c r="K118" s="77"/>
    </row>
    <row r="119" spans="1:11" s="14" customFormat="1" ht="15.75">
      <c r="A119" s="102"/>
      <c r="B119" s="32"/>
      <c r="C119" s="114"/>
      <c r="D119" s="111"/>
      <c r="E119" s="111"/>
      <c r="F119" s="111"/>
      <c r="G119" s="52"/>
      <c r="H119" s="52"/>
      <c r="I119" s="52"/>
      <c r="J119" s="52"/>
      <c r="K119" s="77"/>
    </row>
    <row r="120" spans="1:11" s="41" customFormat="1" ht="47.25">
      <c r="A120" s="102" t="s">
        <v>520</v>
      </c>
      <c r="B120" s="85" t="s">
        <v>287</v>
      </c>
      <c r="C120" s="114">
        <f>SUM(D120:J120)</f>
        <v>50221.235</v>
      </c>
      <c r="D120" s="114">
        <f>SUM(D121:D122)</f>
        <v>0</v>
      </c>
      <c r="E120" s="114">
        <f aca="true" t="shared" si="41" ref="E120:J120">SUM(E121:E122)</f>
        <v>50221.235</v>
      </c>
      <c r="F120" s="114">
        <f t="shared" si="41"/>
        <v>0</v>
      </c>
      <c r="G120" s="35">
        <f t="shared" si="41"/>
        <v>0</v>
      </c>
      <c r="H120" s="35">
        <f t="shared" si="41"/>
        <v>0</v>
      </c>
      <c r="I120" s="35">
        <f t="shared" si="41"/>
        <v>0</v>
      </c>
      <c r="J120" s="35">
        <f t="shared" si="41"/>
        <v>0</v>
      </c>
      <c r="K120" s="73" t="s">
        <v>404</v>
      </c>
    </row>
    <row r="121" spans="1:11" s="41" customFormat="1" ht="15.75">
      <c r="A121" s="99" t="s">
        <v>521</v>
      </c>
      <c r="B121" s="32" t="s">
        <v>600</v>
      </c>
      <c r="C121" s="120">
        <f>SUM(D121:J121)</f>
        <v>24321.235</v>
      </c>
      <c r="D121" s="124">
        <f>SUM(D125+D129)</f>
        <v>0</v>
      </c>
      <c r="E121" s="124">
        <f aca="true" t="shared" si="42" ref="E121:J121">SUM(E125+E129+E132+E135)</f>
        <v>24321.235</v>
      </c>
      <c r="F121" s="124">
        <f t="shared" si="42"/>
        <v>0</v>
      </c>
      <c r="G121" s="91">
        <f t="shared" si="42"/>
        <v>0</v>
      </c>
      <c r="H121" s="91">
        <f t="shared" si="42"/>
        <v>0</v>
      </c>
      <c r="I121" s="91">
        <f t="shared" si="42"/>
        <v>0</v>
      </c>
      <c r="J121" s="91">
        <f t="shared" si="42"/>
        <v>0</v>
      </c>
      <c r="K121" s="77"/>
    </row>
    <row r="122" spans="1:11" s="41" customFormat="1" ht="15.75">
      <c r="A122" s="99" t="s">
        <v>115</v>
      </c>
      <c r="B122" s="28" t="s">
        <v>602</v>
      </c>
      <c r="C122" s="120">
        <f>SUM(D122:J122)</f>
        <v>25900</v>
      </c>
      <c r="D122" s="124">
        <f>SUM(D126)</f>
        <v>0</v>
      </c>
      <c r="E122" s="124">
        <f aca="true" t="shared" si="43" ref="E122:J122">SUM(E126+E136)</f>
        <v>25900</v>
      </c>
      <c r="F122" s="124">
        <f t="shared" si="43"/>
        <v>0</v>
      </c>
      <c r="G122" s="91">
        <f t="shared" si="43"/>
        <v>0</v>
      </c>
      <c r="H122" s="91">
        <f t="shared" si="43"/>
        <v>0</v>
      </c>
      <c r="I122" s="91">
        <f t="shared" si="43"/>
        <v>0</v>
      </c>
      <c r="J122" s="91">
        <f t="shared" si="43"/>
        <v>0</v>
      </c>
      <c r="K122" s="77"/>
    </row>
    <row r="123" spans="1:11" s="41" customFormat="1" ht="15.75">
      <c r="A123" s="99"/>
      <c r="B123" s="32" t="s">
        <v>89</v>
      </c>
      <c r="C123" s="120"/>
      <c r="D123" s="114"/>
      <c r="E123" s="114"/>
      <c r="F123" s="114"/>
      <c r="G123" s="35"/>
      <c r="H123" s="35"/>
      <c r="I123" s="35"/>
      <c r="J123" s="35"/>
      <c r="K123" s="77"/>
    </row>
    <row r="124" spans="1:11" s="41" customFormat="1" ht="31.5">
      <c r="A124" s="99" t="s">
        <v>107</v>
      </c>
      <c r="B124" s="32" t="s">
        <v>90</v>
      </c>
      <c r="C124" s="120">
        <f aca="true" t="shared" si="44" ref="C124:C136">SUM(D124:J124)</f>
        <v>40341.235</v>
      </c>
      <c r="D124" s="114">
        <f aca="true" t="shared" si="45" ref="D124:J124">SUM(D125:D126)</f>
        <v>0</v>
      </c>
      <c r="E124" s="114">
        <f t="shared" si="45"/>
        <v>40341.235</v>
      </c>
      <c r="F124" s="114">
        <f t="shared" si="45"/>
        <v>0</v>
      </c>
      <c r="G124" s="35">
        <f t="shared" si="45"/>
        <v>0</v>
      </c>
      <c r="H124" s="35">
        <f t="shared" si="45"/>
        <v>0</v>
      </c>
      <c r="I124" s="35">
        <f t="shared" si="45"/>
        <v>0</v>
      </c>
      <c r="J124" s="35">
        <f t="shared" si="45"/>
        <v>0</v>
      </c>
      <c r="K124" s="77"/>
    </row>
    <row r="125" spans="1:11" s="41" customFormat="1" ht="15.75">
      <c r="A125" s="99" t="s">
        <v>108</v>
      </c>
      <c r="B125" s="32" t="s">
        <v>600</v>
      </c>
      <c r="C125" s="120">
        <f t="shared" si="44"/>
        <v>17241.235</v>
      </c>
      <c r="D125" s="124"/>
      <c r="E125" s="124">
        <f>9900+4820+1900+621.235</f>
        <v>17241.235</v>
      </c>
      <c r="F125" s="124">
        <f>2700-2700</f>
        <v>0</v>
      </c>
      <c r="G125" s="91"/>
      <c r="H125" s="91"/>
      <c r="I125" s="91"/>
      <c r="J125" s="91"/>
      <c r="K125" s="77"/>
    </row>
    <row r="126" spans="1:11" s="41" customFormat="1" ht="15.75">
      <c r="A126" s="99" t="s">
        <v>109</v>
      </c>
      <c r="B126" s="28" t="s">
        <v>602</v>
      </c>
      <c r="C126" s="120">
        <f t="shared" si="44"/>
        <v>23100</v>
      </c>
      <c r="D126" s="124"/>
      <c r="E126" s="124">
        <v>23100</v>
      </c>
      <c r="F126" s="124"/>
      <c r="G126" s="91"/>
      <c r="H126" s="91"/>
      <c r="I126" s="91"/>
      <c r="J126" s="91"/>
      <c r="K126" s="77"/>
    </row>
    <row r="127" spans="1:11" s="41" customFormat="1" ht="15.75">
      <c r="A127" s="99"/>
      <c r="B127" s="28"/>
      <c r="C127" s="120"/>
      <c r="D127" s="124"/>
      <c r="E127" s="124"/>
      <c r="F127" s="124"/>
      <c r="G127" s="91"/>
      <c r="H127" s="91"/>
      <c r="I127" s="91"/>
      <c r="J127" s="91"/>
      <c r="K127" s="77"/>
    </row>
    <row r="128" spans="1:11" s="41" customFormat="1" ht="47.25">
      <c r="A128" s="99" t="s">
        <v>110</v>
      </c>
      <c r="B128" s="92" t="s">
        <v>88</v>
      </c>
      <c r="C128" s="120">
        <f t="shared" si="44"/>
        <v>780</v>
      </c>
      <c r="D128" s="124">
        <f>SUM(D129)</f>
        <v>0</v>
      </c>
      <c r="E128" s="124">
        <f aca="true" t="shared" si="46" ref="E128:J131">SUM(E129)</f>
        <v>780</v>
      </c>
      <c r="F128" s="124">
        <f t="shared" si="46"/>
        <v>0</v>
      </c>
      <c r="G128" s="91">
        <f t="shared" si="46"/>
        <v>0</v>
      </c>
      <c r="H128" s="91">
        <f t="shared" si="46"/>
        <v>0</v>
      </c>
      <c r="I128" s="91">
        <f t="shared" si="46"/>
        <v>0</v>
      </c>
      <c r="J128" s="91">
        <f t="shared" si="46"/>
        <v>0</v>
      </c>
      <c r="K128" s="77"/>
    </row>
    <row r="129" spans="1:11" s="14" customFormat="1" ht="15.75">
      <c r="A129" s="99" t="s">
        <v>111</v>
      </c>
      <c r="B129" s="32" t="s">
        <v>600</v>
      </c>
      <c r="C129" s="120">
        <f t="shared" si="44"/>
        <v>780</v>
      </c>
      <c r="D129" s="111"/>
      <c r="E129" s="111">
        <f>600+180</f>
        <v>780</v>
      </c>
      <c r="F129" s="111"/>
      <c r="G129" s="52"/>
      <c r="H129" s="52"/>
      <c r="I129" s="52"/>
      <c r="J129" s="52"/>
      <c r="K129" s="77"/>
    </row>
    <row r="130" spans="1:11" s="14" customFormat="1" ht="15.75">
      <c r="A130" s="99"/>
      <c r="B130" s="32"/>
      <c r="C130" s="120"/>
      <c r="D130" s="111"/>
      <c r="E130" s="111"/>
      <c r="F130" s="111"/>
      <c r="G130" s="52"/>
      <c r="H130" s="52"/>
      <c r="I130" s="52"/>
      <c r="J130" s="52"/>
      <c r="K130" s="77"/>
    </row>
    <row r="131" spans="1:11" s="41" customFormat="1" ht="31.5">
      <c r="A131" s="99" t="s">
        <v>112</v>
      </c>
      <c r="B131" s="92" t="s">
        <v>99</v>
      </c>
      <c r="C131" s="120">
        <f>SUM(D131:J131)</f>
        <v>5100</v>
      </c>
      <c r="D131" s="124">
        <f>SUM(D132)</f>
        <v>0</v>
      </c>
      <c r="E131" s="124">
        <f t="shared" si="46"/>
        <v>5100</v>
      </c>
      <c r="F131" s="124">
        <f t="shared" si="46"/>
        <v>0</v>
      </c>
      <c r="G131" s="91">
        <f t="shared" si="46"/>
        <v>0</v>
      </c>
      <c r="H131" s="91">
        <f t="shared" si="46"/>
        <v>0</v>
      </c>
      <c r="I131" s="91">
        <f t="shared" si="46"/>
        <v>0</v>
      </c>
      <c r="J131" s="91">
        <f t="shared" si="46"/>
        <v>0</v>
      </c>
      <c r="K131" s="77"/>
    </row>
    <row r="132" spans="1:11" s="14" customFormat="1" ht="15.75">
      <c r="A132" s="99" t="s">
        <v>113</v>
      </c>
      <c r="B132" s="32" t="s">
        <v>600</v>
      </c>
      <c r="C132" s="120">
        <f>SUM(D132:J132)</f>
        <v>5100</v>
      </c>
      <c r="D132" s="111"/>
      <c r="E132" s="111">
        <f>7000-1900</f>
        <v>5100</v>
      </c>
      <c r="F132" s="111"/>
      <c r="G132" s="52"/>
      <c r="H132" s="52"/>
      <c r="I132" s="52"/>
      <c r="J132" s="52"/>
      <c r="K132" s="77"/>
    </row>
    <row r="133" spans="1:11" s="14" customFormat="1" ht="15.75">
      <c r="A133" s="99"/>
      <c r="B133" s="32"/>
      <c r="C133" s="120"/>
      <c r="D133" s="111"/>
      <c r="E133" s="111"/>
      <c r="F133" s="111"/>
      <c r="G133" s="52"/>
      <c r="H133" s="52"/>
      <c r="I133" s="52"/>
      <c r="J133" s="52"/>
      <c r="K133" s="77"/>
    </row>
    <row r="134" spans="1:11" s="14" customFormat="1" ht="31.5">
      <c r="A134" s="99" t="s">
        <v>114</v>
      </c>
      <c r="B134" s="32" t="s">
        <v>96</v>
      </c>
      <c r="C134" s="120">
        <f t="shared" si="44"/>
        <v>4000</v>
      </c>
      <c r="D134" s="114">
        <f aca="true" t="shared" si="47" ref="D134:I134">SUM(D135:D136)</f>
        <v>0</v>
      </c>
      <c r="E134" s="114">
        <f t="shared" si="47"/>
        <v>4000</v>
      </c>
      <c r="F134" s="114">
        <f t="shared" si="47"/>
        <v>0</v>
      </c>
      <c r="G134" s="35">
        <f t="shared" si="47"/>
        <v>0</v>
      </c>
      <c r="H134" s="35">
        <f t="shared" si="47"/>
        <v>0</v>
      </c>
      <c r="I134" s="35">
        <f t="shared" si="47"/>
        <v>0</v>
      </c>
      <c r="J134" s="35"/>
      <c r="K134" s="77"/>
    </row>
    <row r="135" spans="1:11" s="14" customFormat="1" ht="15.75">
      <c r="A135" s="99" t="s">
        <v>116</v>
      </c>
      <c r="B135" s="32" t="s">
        <v>600</v>
      </c>
      <c r="C135" s="120">
        <f t="shared" si="44"/>
        <v>1200</v>
      </c>
      <c r="D135" s="111"/>
      <c r="E135" s="111">
        <f>1200</f>
        <v>1200</v>
      </c>
      <c r="F135" s="111"/>
      <c r="G135" s="52"/>
      <c r="H135" s="52"/>
      <c r="I135" s="52"/>
      <c r="J135" s="52"/>
      <c r="K135" s="77"/>
    </row>
    <row r="136" spans="1:11" s="14" customFormat="1" ht="15.75">
      <c r="A136" s="99" t="s">
        <v>117</v>
      </c>
      <c r="B136" s="28" t="s">
        <v>602</v>
      </c>
      <c r="C136" s="120">
        <f t="shared" si="44"/>
        <v>2800</v>
      </c>
      <c r="D136" s="111"/>
      <c r="E136" s="111">
        <f>2800</f>
        <v>2800</v>
      </c>
      <c r="F136" s="111"/>
      <c r="G136" s="52"/>
      <c r="H136" s="52"/>
      <c r="I136" s="52"/>
      <c r="J136" s="52"/>
      <c r="K136" s="77"/>
    </row>
    <row r="137" spans="1:11" s="14" customFormat="1" ht="15.75">
      <c r="A137" s="102"/>
      <c r="B137" s="32"/>
      <c r="C137" s="114"/>
      <c r="D137" s="111"/>
      <c r="E137" s="111"/>
      <c r="F137" s="111"/>
      <c r="G137" s="52"/>
      <c r="H137" s="52"/>
      <c r="I137" s="52"/>
      <c r="J137" s="52"/>
      <c r="K137" s="77"/>
    </row>
    <row r="138" spans="1:11" s="7" customFormat="1" ht="15" customHeight="1">
      <c r="A138" s="172"/>
      <c r="B138" s="230" t="s">
        <v>49</v>
      </c>
      <c r="C138" s="231"/>
      <c r="D138" s="231"/>
      <c r="E138" s="231"/>
      <c r="F138" s="231"/>
      <c r="G138" s="231"/>
      <c r="H138" s="231"/>
      <c r="I138" s="231"/>
      <c r="J138" s="231"/>
      <c r="K138" s="232"/>
    </row>
    <row r="139" spans="1:11" s="39" customFormat="1" ht="23.25" customHeight="1">
      <c r="A139" s="103" t="s">
        <v>118</v>
      </c>
      <c r="B139" s="43" t="s">
        <v>24</v>
      </c>
      <c r="C139" s="97">
        <f>SUM(C140:C143)</f>
        <v>2462713.0949999997</v>
      </c>
      <c r="D139" s="97">
        <f aca="true" t="shared" si="48" ref="D139:J139">SUM(D140:D143)</f>
        <v>364991.669</v>
      </c>
      <c r="E139" s="97">
        <f>SUM(E140:E143)</f>
        <v>311126.389</v>
      </c>
      <c r="F139" s="120">
        <f>SUM(F140:F143)</f>
        <v>334495.037</v>
      </c>
      <c r="G139" s="18">
        <f t="shared" si="48"/>
        <v>329606</v>
      </c>
      <c r="H139" s="18">
        <f t="shared" si="48"/>
        <v>376048</v>
      </c>
      <c r="I139" s="18">
        <f t="shared" si="48"/>
        <v>375948</v>
      </c>
      <c r="J139" s="18">
        <f t="shared" si="48"/>
        <v>370498</v>
      </c>
      <c r="K139" s="72"/>
    </row>
    <row r="140" spans="1:11" s="8" customFormat="1" ht="15" customHeight="1">
      <c r="A140" s="103" t="s">
        <v>119</v>
      </c>
      <c r="B140" s="10" t="s">
        <v>600</v>
      </c>
      <c r="C140" s="97">
        <f>SUM(D140:J140)</f>
        <v>989072.969</v>
      </c>
      <c r="D140" s="117">
        <f aca="true" t="shared" si="49" ref="D140:J140">SUM(D146+D178)</f>
        <v>163755.794</v>
      </c>
      <c r="E140" s="117">
        <f t="shared" si="49"/>
        <v>130901.93800000001</v>
      </c>
      <c r="F140" s="95">
        <f>SUM(F146+F178)</f>
        <v>102652.23700000002</v>
      </c>
      <c r="G140" s="34">
        <f>SUM(G146+G178)</f>
        <v>139628</v>
      </c>
      <c r="H140" s="22">
        <f t="shared" si="49"/>
        <v>152595</v>
      </c>
      <c r="I140" s="22">
        <f t="shared" si="49"/>
        <v>152495</v>
      </c>
      <c r="J140" s="22">
        <f t="shared" si="49"/>
        <v>147045</v>
      </c>
      <c r="K140" s="73"/>
    </row>
    <row r="141" spans="1:11" s="8" customFormat="1" ht="15" customHeight="1">
      <c r="A141" s="103" t="s">
        <v>120</v>
      </c>
      <c r="B141" s="10" t="s">
        <v>601</v>
      </c>
      <c r="C141" s="97">
        <f>SUM(D141:J141)</f>
        <v>7508.806</v>
      </c>
      <c r="D141" s="117">
        <f>SUM(D179)</f>
        <v>1155.675</v>
      </c>
      <c r="E141" s="117">
        <f aca="true" t="shared" si="50" ref="E141:J141">SUM(E179)</f>
        <v>2441.431</v>
      </c>
      <c r="F141" s="95">
        <f t="shared" si="50"/>
        <v>3911.7</v>
      </c>
      <c r="G141" s="22">
        <f t="shared" si="50"/>
        <v>0</v>
      </c>
      <c r="H141" s="22">
        <f t="shared" si="50"/>
        <v>0</v>
      </c>
      <c r="I141" s="22">
        <f t="shared" si="50"/>
        <v>0</v>
      </c>
      <c r="J141" s="22">
        <f t="shared" si="50"/>
        <v>0</v>
      </c>
      <c r="K141" s="73"/>
    </row>
    <row r="142" spans="1:11" s="8" customFormat="1" ht="15" customHeight="1">
      <c r="A142" s="103" t="s">
        <v>121</v>
      </c>
      <c r="B142" s="10" t="s">
        <v>602</v>
      </c>
      <c r="C142" s="97">
        <f>SUM(D142:J142)</f>
        <v>1453433.92</v>
      </c>
      <c r="D142" s="117">
        <f aca="true" t="shared" si="51" ref="D142:J142">SUM(D148+D180)</f>
        <v>195882.8</v>
      </c>
      <c r="E142" s="117">
        <f t="shared" si="51"/>
        <v>177783.02000000002</v>
      </c>
      <c r="F142" s="95">
        <f t="shared" si="51"/>
        <v>226231.1</v>
      </c>
      <c r="G142" s="22">
        <f t="shared" si="51"/>
        <v>188278</v>
      </c>
      <c r="H142" s="22">
        <f t="shared" si="51"/>
        <v>221753</v>
      </c>
      <c r="I142" s="22">
        <f t="shared" si="51"/>
        <v>221753</v>
      </c>
      <c r="J142" s="22">
        <f t="shared" si="51"/>
        <v>221753</v>
      </c>
      <c r="K142" s="73"/>
    </row>
    <row r="143" spans="1:11" s="8" customFormat="1" ht="15" customHeight="1">
      <c r="A143" s="103" t="s">
        <v>122</v>
      </c>
      <c r="B143" s="10" t="s">
        <v>603</v>
      </c>
      <c r="C143" s="97">
        <f>SUM(D143:J143)</f>
        <v>12697.4</v>
      </c>
      <c r="D143" s="117">
        <f>SUM(D181)</f>
        <v>4197.4</v>
      </c>
      <c r="E143" s="117">
        <f aca="true" t="shared" si="52" ref="E143:J143">SUM(E181)</f>
        <v>0</v>
      </c>
      <c r="F143" s="95">
        <f t="shared" si="52"/>
        <v>1700</v>
      </c>
      <c r="G143" s="22">
        <f t="shared" si="52"/>
        <v>1700</v>
      </c>
      <c r="H143" s="22">
        <f t="shared" si="52"/>
        <v>1700</v>
      </c>
      <c r="I143" s="22">
        <f t="shared" si="52"/>
        <v>1700</v>
      </c>
      <c r="J143" s="22">
        <f t="shared" si="52"/>
        <v>1700</v>
      </c>
      <c r="K143" s="73"/>
    </row>
    <row r="144" spans="1:11" s="8" customFormat="1" ht="15" customHeight="1">
      <c r="A144" s="173"/>
      <c r="B144" s="224" t="s">
        <v>604</v>
      </c>
      <c r="C144" s="225"/>
      <c r="D144" s="225"/>
      <c r="E144" s="225"/>
      <c r="F144" s="225"/>
      <c r="G144" s="225"/>
      <c r="H144" s="225"/>
      <c r="I144" s="225"/>
      <c r="J144" s="225"/>
      <c r="K144" s="226"/>
    </row>
    <row r="145" spans="1:11" s="39" customFormat="1" ht="33.75" customHeight="1">
      <c r="A145" s="103" t="s">
        <v>123</v>
      </c>
      <c r="B145" s="43" t="s">
        <v>0</v>
      </c>
      <c r="C145" s="97">
        <f>SUM(C146:C148)</f>
        <v>3000</v>
      </c>
      <c r="D145" s="97">
        <f>SUM(D146:D148)</f>
        <v>0</v>
      </c>
      <c r="E145" s="97">
        <f aca="true" t="shared" si="53" ref="E145:J145">SUM(E146:E148)</f>
        <v>0</v>
      </c>
      <c r="F145" s="120">
        <f t="shared" si="53"/>
        <v>0</v>
      </c>
      <c r="G145" s="18">
        <f t="shared" si="53"/>
        <v>3000</v>
      </c>
      <c r="H145" s="18">
        <f t="shared" si="53"/>
        <v>0</v>
      </c>
      <c r="I145" s="18">
        <f t="shared" si="53"/>
        <v>0</v>
      </c>
      <c r="J145" s="18">
        <f t="shared" si="53"/>
        <v>0</v>
      </c>
      <c r="K145" s="74"/>
    </row>
    <row r="146" spans="1:11" s="8" customFormat="1" ht="15" customHeight="1">
      <c r="A146" s="103" t="s">
        <v>124</v>
      </c>
      <c r="B146" s="10" t="s">
        <v>600</v>
      </c>
      <c r="C146" s="97">
        <f>SUM(D146:J146)</f>
        <v>3000</v>
      </c>
      <c r="D146" s="117">
        <f>SUM(D152+D163)</f>
        <v>0</v>
      </c>
      <c r="E146" s="117">
        <f aca="true" t="shared" si="54" ref="E146:J146">SUM(E152+E163)</f>
        <v>0</v>
      </c>
      <c r="F146" s="95">
        <f t="shared" si="54"/>
        <v>0</v>
      </c>
      <c r="G146" s="22">
        <f t="shared" si="54"/>
        <v>3000</v>
      </c>
      <c r="H146" s="22">
        <f t="shared" si="54"/>
        <v>0</v>
      </c>
      <c r="I146" s="22">
        <f t="shared" si="54"/>
        <v>0</v>
      </c>
      <c r="J146" s="22">
        <f t="shared" si="54"/>
        <v>0</v>
      </c>
      <c r="K146" s="73"/>
    </row>
    <row r="147" spans="1:11" s="8" customFormat="1" ht="15" customHeight="1">
      <c r="A147" s="103" t="s">
        <v>125</v>
      </c>
      <c r="B147" s="10" t="s">
        <v>601</v>
      </c>
      <c r="C147" s="97">
        <f>SUM(D147:J147)</f>
        <v>0</v>
      </c>
      <c r="D147" s="117"/>
      <c r="E147" s="117"/>
      <c r="F147" s="95"/>
      <c r="G147" s="22"/>
      <c r="H147" s="22"/>
      <c r="I147" s="22"/>
      <c r="J147" s="22"/>
      <c r="K147" s="73"/>
    </row>
    <row r="148" spans="1:11" s="8" customFormat="1" ht="15" customHeight="1">
      <c r="A148" s="103" t="s">
        <v>126</v>
      </c>
      <c r="B148" s="10" t="s">
        <v>602</v>
      </c>
      <c r="C148" s="97">
        <f>SUM(D148:J148)</f>
        <v>0</v>
      </c>
      <c r="D148" s="117">
        <f aca="true" t="shared" si="55" ref="D148:J148">SUM(D154+D164)</f>
        <v>0</v>
      </c>
      <c r="E148" s="117">
        <f t="shared" si="55"/>
        <v>0</v>
      </c>
      <c r="F148" s="95">
        <f>SUM(F154+F164)</f>
        <v>0</v>
      </c>
      <c r="G148" s="22">
        <f t="shared" si="55"/>
        <v>0</v>
      </c>
      <c r="H148" s="22">
        <f t="shared" si="55"/>
        <v>0</v>
      </c>
      <c r="I148" s="22">
        <f t="shared" si="55"/>
        <v>0</v>
      </c>
      <c r="J148" s="22">
        <f t="shared" si="55"/>
        <v>0</v>
      </c>
      <c r="K148" s="73"/>
    </row>
    <row r="149" spans="1:11" s="8" customFormat="1" ht="15" customHeight="1">
      <c r="A149" s="103"/>
      <c r="B149" s="10"/>
      <c r="C149" s="97"/>
      <c r="D149" s="118"/>
      <c r="E149" s="118"/>
      <c r="F149" s="96"/>
      <c r="G149" s="21"/>
      <c r="H149" s="21"/>
      <c r="I149" s="21"/>
      <c r="J149" s="21"/>
      <c r="K149" s="73"/>
    </row>
    <row r="150" spans="1:11" s="8" customFormat="1" ht="15" customHeight="1">
      <c r="A150" s="174"/>
      <c r="B150" s="233" t="s">
        <v>605</v>
      </c>
      <c r="C150" s="234"/>
      <c r="D150" s="234"/>
      <c r="E150" s="234"/>
      <c r="F150" s="234"/>
      <c r="G150" s="234"/>
      <c r="H150" s="234"/>
      <c r="I150" s="234"/>
      <c r="J150" s="234"/>
      <c r="K150" s="235"/>
    </row>
    <row r="151" spans="1:11" s="39" customFormat="1" ht="45.75" customHeight="1">
      <c r="A151" s="103" t="s">
        <v>127</v>
      </c>
      <c r="B151" s="43" t="s">
        <v>277</v>
      </c>
      <c r="C151" s="97">
        <f>SUM(C152:C155)</f>
        <v>0</v>
      </c>
      <c r="D151" s="97">
        <f>SUM(D152:D154)</f>
        <v>0</v>
      </c>
      <c r="E151" s="97">
        <f aca="true" t="shared" si="56" ref="E151:J151">SUM(E152:E154)</f>
        <v>0</v>
      </c>
      <c r="F151" s="120">
        <f t="shared" si="56"/>
        <v>0</v>
      </c>
      <c r="G151" s="18">
        <f t="shared" si="56"/>
        <v>0</v>
      </c>
      <c r="H151" s="18">
        <f t="shared" si="56"/>
        <v>0</v>
      </c>
      <c r="I151" s="18">
        <f t="shared" si="56"/>
        <v>0</v>
      </c>
      <c r="J151" s="18">
        <f t="shared" si="56"/>
        <v>0</v>
      </c>
      <c r="K151" s="73"/>
    </row>
    <row r="152" spans="1:11" s="8" customFormat="1" ht="15" customHeight="1">
      <c r="A152" s="103" t="s">
        <v>128</v>
      </c>
      <c r="B152" s="10" t="s">
        <v>600</v>
      </c>
      <c r="C152" s="97">
        <f>SUM(D152:J152)</f>
        <v>0</v>
      </c>
      <c r="D152" s="152">
        <f>SUM(D157)</f>
        <v>0</v>
      </c>
      <c r="E152" s="152">
        <f aca="true" t="shared" si="57" ref="E152:J152">SUM(E157)</f>
        <v>0</v>
      </c>
      <c r="F152" s="158">
        <f t="shared" si="57"/>
        <v>0</v>
      </c>
      <c r="G152" s="17">
        <f t="shared" si="57"/>
        <v>0</v>
      </c>
      <c r="H152" s="17">
        <f t="shared" si="57"/>
        <v>0</v>
      </c>
      <c r="I152" s="17">
        <f t="shared" si="57"/>
        <v>0</v>
      </c>
      <c r="J152" s="17">
        <f t="shared" si="57"/>
        <v>0</v>
      </c>
      <c r="K152" s="73"/>
    </row>
    <row r="153" spans="1:11" s="8" customFormat="1" ht="15" customHeight="1">
      <c r="A153" s="103" t="s">
        <v>129</v>
      </c>
      <c r="B153" s="10" t="s">
        <v>601</v>
      </c>
      <c r="C153" s="97">
        <f>SUM(D153:J153)</f>
        <v>0</v>
      </c>
      <c r="D153" s="152">
        <f>SUM(D158)</f>
        <v>0</v>
      </c>
      <c r="E153" s="152">
        <f aca="true" t="shared" si="58" ref="E153:J153">SUM(E158)</f>
        <v>0</v>
      </c>
      <c r="F153" s="158">
        <f t="shared" si="58"/>
        <v>0</v>
      </c>
      <c r="G153" s="17">
        <f t="shared" si="58"/>
        <v>0</v>
      </c>
      <c r="H153" s="17">
        <f t="shared" si="58"/>
        <v>0</v>
      </c>
      <c r="I153" s="17">
        <f t="shared" si="58"/>
        <v>0</v>
      </c>
      <c r="J153" s="17">
        <f t="shared" si="58"/>
        <v>0</v>
      </c>
      <c r="K153" s="73"/>
    </row>
    <row r="154" spans="1:11" s="8" customFormat="1" ht="15" customHeight="1">
      <c r="A154" s="103" t="s">
        <v>130</v>
      </c>
      <c r="B154" s="10" t="s">
        <v>602</v>
      </c>
      <c r="C154" s="97">
        <f>SUM(D154:J154)</f>
        <v>0</v>
      </c>
      <c r="D154" s="152">
        <f aca="true" t="shared" si="59" ref="D154:J154">SUM(D159)</f>
        <v>0</v>
      </c>
      <c r="E154" s="152">
        <f t="shared" si="59"/>
        <v>0</v>
      </c>
      <c r="F154" s="158">
        <f t="shared" si="59"/>
        <v>0</v>
      </c>
      <c r="G154" s="17">
        <f t="shared" si="59"/>
        <v>0</v>
      </c>
      <c r="H154" s="17">
        <f t="shared" si="59"/>
        <v>0</v>
      </c>
      <c r="I154" s="17">
        <f t="shared" si="59"/>
        <v>0</v>
      </c>
      <c r="J154" s="17">
        <f t="shared" si="59"/>
        <v>0</v>
      </c>
      <c r="K154" s="73"/>
    </row>
    <row r="155" spans="1:11" s="8" customFormat="1" ht="15" customHeight="1">
      <c r="A155" s="103"/>
      <c r="B155" s="10"/>
      <c r="C155" s="97"/>
      <c r="D155" s="118"/>
      <c r="E155" s="118"/>
      <c r="F155" s="96"/>
      <c r="G155" s="21"/>
      <c r="H155" s="21"/>
      <c r="I155" s="21"/>
      <c r="J155" s="21"/>
      <c r="K155" s="73"/>
    </row>
    <row r="156" spans="1:11" s="8" customFormat="1" ht="50.25" customHeight="1">
      <c r="A156" s="103" t="s">
        <v>131</v>
      </c>
      <c r="B156" s="43" t="s">
        <v>330</v>
      </c>
      <c r="C156" s="97">
        <f>SUM(C157:C160)</f>
        <v>0</v>
      </c>
      <c r="D156" s="97">
        <f>SUM(D157:D159)</f>
        <v>0</v>
      </c>
      <c r="E156" s="97">
        <f aca="true" t="shared" si="60" ref="E156:J156">SUM(E157:E159)</f>
        <v>0</v>
      </c>
      <c r="F156" s="120">
        <f t="shared" si="60"/>
        <v>0</v>
      </c>
      <c r="G156" s="18">
        <f t="shared" si="60"/>
        <v>0</v>
      </c>
      <c r="H156" s="18">
        <f t="shared" si="60"/>
        <v>0</v>
      </c>
      <c r="I156" s="18">
        <f t="shared" si="60"/>
        <v>0</v>
      </c>
      <c r="J156" s="18">
        <f t="shared" si="60"/>
        <v>0</v>
      </c>
      <c r="K156" s="73" t="s">
        <v>408</v>
      </c>
    </row>
    <row r="157" spans="1:11" s="8" customFormat="1" ht="15" customHeight="1">
      <c r="A157" s="103" t="s">
        <v>132</v>
      </c>
      <c r="B157" s="10" t="s">
        <v>600</v>
      </c>
      <c r="C157" s="97">
        <f>SUM(D157:J157)</f>
        <v>0</v>
      </c>
      <c r="D157" s="111"/>
      <c r="E157" s="116"/>
      <c r="F157" s="111"/>
      <c r="G157" s="15"/>
      <c r="H157" s="15"/>
      <c r="I157" s="15"/>
      <c r="J157" s="15"/>
      <c r="K157" s="73"/>
    </row>
    <row r="158" spans="1:11" s="8" customFormat="1" ht="15" customHeight="1">
      <c r="A158" s="103" t="s">
        <v>133</v>
      </c>
      <c r="B158" s="10" t="s">
        <v>601</v>
      </c>
      <c r="C158" s="97">
        <f>SUM(D158:J158)</f>
        <v>0</v>
      </c>
      <c r="D158" s="111"/>
      <c r="E158" s="116"/>
      <c r="F158" s="111"/>
      <c r="G158" s="15"/>
      <c r="H158" s="15"/>
      <c r="I158" s="15"/>
      <c r="J158" s="15"/>
      <c r="K158" s="73"/>
    </row>
    <row r="159" spans="1:11" s="8" customFormat="1" ht="15" customHeight="1">
      <c r="A159" s="103" t="s">
        <v>134</v>
      </c>
      <c r="B159" s="10" t="s">
        <v>602</v>
      </c>
      <c r="C159" s="97">
        <f>SUM(D159:J159)</f>
        <v>0</v>
      </c>
      <c r="D159" s="111"/>
      <c r="E159" s="116"/>
      <c r="F159" s="111"/>
      <c r="G159" s="15"/>
      <c r="H159" s="15"/>
      <c r="I159" s="15"/>
      <c r="J159" s="15"/>
      <c r="K159" s="73"/>
    </row>
    <row r="160" spans="1:11" s="8" customFormat="1" ht="15" customHeight="1">
      <c r="A160" s="103"/>
      <c r="B160" s="10"/>
      <c r="C160" s="97"/>
      <c r="D160" s="118"/>
      <c r="E160" s="118"/>
      <c r="F160" s="96"/>
      <c r="G160" s="21"/>
      <c r="H160" s="21"/>
      <c r="I160" s="21"/>
      <c r="J160" s="21"/>
      <c r="K160" s="73"/>
    </row>
    <row r="161" spans="1:11" s="8" customFormat="1" ht="15" customHeight="1">
      <c r="A161" s="174"/>
      <c r="B161" s="233" t="s">
        <v>10</v>
      </c>
      <c r="C161" s="234"/>
      <c r="D161" s="234"/>
      <c r="E161" s="234"/>
      <c r="F161" s="234"/>
      <c r="G161" s="234"/>
      <c r="H161" s="234"/>
      <c r="I161" s="234"/>
      <c r="J161" s="234"/>
      <c r="K161" s="235"/>
    </row>
    <row r="162" spans="1:11" s="41" customFormat="1" ht="31.5">
      <c r="A162" s="99" t="s">
        <v>341</v>
      </c>
      <c r="B162" s="46" t="s">
        <v>278</v>
      </c>
      <c r="C162" s="120">
        <f aca="true" t="shared" si="61" ref="C162:J162">SUM(C163:C164)</f>
        <v>3000</v>
      </c>
      <c r="D162" s="114">
        <f t="shared" si="61"/>
        <v>0</v>
      </c>
      <c r="E162" s="114">
        <f t="shared" si="61"/>
        <v>0</v>
      </c>
      <c r="F162" s="114">
        <f t="shared" si="61"/>
        <v>0</v>
      </c>
      <c r="G162" s="35">
        <f t="shared" si="61"/>
        <v>3000</v>
      </c>
      <c r="H162" s="35">
        <f t="shared" si="61"/>
        <v>0</v>
      </c>
      <c r="I162" s="35">
        <f t="shared" si="61"/>
        <v>0</v>
      </c>
      <c r="J162" s="35">
        <f t="shared" si="61"/>
        <v>0</v>
      </c>
      <c r="K162" s="76"/>
    </row>
    <row r="163" spans="1:11" s="14" customFormat="1" ht="15" customHeight="1">
      <c r="A163" s="99" t="s">
        <v>135</v>
      </c>
      <c r="B163" s="10" t="s">
        <v>600</v>
      </c>
      <c r="C163" s="120">
        <f>SUM(D163:J163)</f>
        <v>3000</v>
      </c>
      <c r="D163" s="121">
        <f>SUM(D167)</f>
        <v>0</v>
      </c>
      <c r="E163" s="121">
        <f aca="true" t="shared" si="62" ref="E163:J163">SUM(E167)</f>
        <v>0</v>
      </c>
      <c r="F163" s="121">
        <f t="shared" si="62"/>
        <v>0</v>
      </c>
      <c r="G163" s="29">
        <f t="shared" si="62"/>
        <v>3000</v>
      </c>
      <c r="H163" s="29">
        <f t="shared" si="62"/>
        <v>0</v>
      </c>
      <c r="I163" s="29">
        <f t="shared" si="62"/>
        <v>0</v>
      </c>
      <c r="J163" s="29">
        <f t="shared" si="62"/>
        <v>0</v>
      </c>
      <c r="K163" s="77"/>
    </row>
    <row r="164" spans="1:11" s="14" customFormat="1" ht="15" customHeight="1">
      <c r="A164" s="99" t="s">
        <v>342</v>
      </c>
      <c r="B164" s="10" t="s">
        <v>602</v>
      </c>
      <c r="C164" s="120">
        <f>SUM(D164:J164)</f>
        <v>0</v>
      </c>
      <c r="D164" s="121">
        <f>SUM(D168)</f>
        <v>0</v>
      </c>
      <c r="E164" s="121">
        <f aca="true" t="shared" si="63" ref="E164:J164">SUM(E168)</f>
        <v>0</v>
      </c>
      <c r="F164" s="121">
        <f t="shared" si="63"/>
        <v>0</v>
      </c>
      <c r="G164" s="29">
        <f t="shared" si="63"/>
        <v>0</v>
      </c>
      <c r="H164" s="29">
        <f t="shared" si="63"/>
        <v>0</v>
      </c>
      <c r="I164" s="29">
        <f t="shared" si="63"/>
        <v>0</v>
      </c>
      <c r="J164" s="29">
        <f t="shared" si="63"/>
        <v>0</v>
      </c>
      <c r="K164" s="77"/>
    </row>
    <row r="165" spans="1:11" s="8" customFormat="1" ht="15" customHeight="1">
      <c r="A165" s="103"/>
      <c r="B165" s="10"/>
      <c r="C165" s="97"/>
      <c r="D165" s="118"/>
      <c r="E165" s="118"/>
      <c r="F165" s="96"/>
      <c r="G165" s="21"/>
      <c r="H165" s="21"/>
      <c r="I165" s="21"/>
      <c r="J165" s="21"/>
      <c r="K165" s="73"/>
    </row>
    <row r="166" spans="1:11" s="8" customFormat="1" ht="98.25" customHeight="1">
      <c r="A166" s="104" t="s">
        <v>343</v>
      </c>
      <c r="B166" s="122" t="s">
        <v>331</v>
      </c>
      <c r="C166" s="120">
        <f>SUM(D166:J166)</f>
        <v>3000</v>
      </c>
      <c r="D166" s="114">
        <f aca="true" t="shared" si="64" ref="D166:J166">SUM(D167:D168)</f>
        <v>0</v>
      </c>
      <c r="E166" s="114">
        <f t="shared" si="64"/>
        <v>0</v>
      </c>
      <c r="F166" s="114">
        <f t="shared" si="64"/>
        <v>0</v>
      </c>
      <c r="G166" s="35">
        <f t="shared" si="64"/>
        <v>3000</v>
      </c>
      <c r="H166" s="35">
        <f t="shared" si="64"/>
        <v>0</v>
      </c>
      <c r="I166" s="35">
        <f t="shared" si="64"/>
        <v>0</v>
      </c>
      <c r="J166" s="35">
        <f t="shared" si="64"/>
        <v>0</v>
      </c>
      <c r="K166" s="73" t="s">
        <v>408</v>
      </c>
    </row>
    <row r="167" spans="1:11" s="8" customFormat="1" ht="15" customHeight="1">
      <c r="A167" s="104" t="s">
        <v>344</v>
      </c>
      <c r="B167" s="10" t="s">
        <v>600</v>
      </c>
      <c r="C167" s="120">
        <f>SUM(D167:J167)</f>
        <v>3000</v>
      </c>
      <c r="D167" s="114">
        <f>SUM(D170+D173)</f>
        <v>0</v>
      </c>
      <c r="E167" s="114">
        <f aca="true" t="shared" si="65" ref="E167:J167">SUM(E170+E173)</f>
        <v>0</v>
      </c>
      <c r="F167" s="114">
        <f t="shared" si="65"/>
        <v>0</v>
      </c>
      <c r="G167" s="35">
        <f t="shared" si="65"/>
        <v>3000</v>
      </c>
      <c r="H167" s="35">
        <f t="shared" si="65"/>
        <v>0</v>
      </c>
      <c r="I167" s="35">
        <f t="shared" si="65"/>
        <v>0</v>
      </c>
      <c r="J167" s="35">
        <f t="shared" si="65"/>
        <v>0</v>
      </c>
      <c r="K167" s="77"/>
    </row>
    <row r="168" spans="1:11" s="8" customFormat="1" ht="15" customHeight="1">
      <c r="A168" s="104" t="s">
        <v>345</v>
      </c>
      <c r="B168" s="10" t="s">
        <v>602</v>
      </c>
      <c r="C168" s="120">
        <f>SUM(D168:J168)</f>
        <v>0</v>
      </c>
      <c r="D168" s="114">
        <f>SUM(D171+D174)</f>
        <v>0</v>
      </c>
      <c r="E168" s="114">
        <f aca="true" t="shared" si="66" ref="E168:J168">SUM(E171+E174)</f>
        <v>0</v>
      </c>
      <c r="F168" s="114">
        <f t="shared" si="66"/>
        <v>0</v>
      </c>
      <c r="G168" s="35">
        <f t="shared" si="66"/>
        <v>0</v>
      </c>
      <c r="H168" s="35">
        <f t="shared" si="66"/>
        <v>0</v>
      </c>
      <c r="I168" s="35">
        <f t="shared" si="66"/>
        <v>0</v>
      </c>
      <c r="J168" s="35">
        <f t="shared" si="66"/>
        <v>0</v>
      </c>
      <c r="K168" s="77"/>
    </row>
    <row r="169" spans="1:11" s="8" customFormat="1" ht="15" customHeight="1">
      <c r="A169" s="104"/>
      <c r="B169" s="93" t="s">
        <v>288</v>
      </c>
      <c r="C169" s="120"/>
      <c r="D169" s="95"/>
      <c r="E169" s="95"/>
      <c r="F169" s="95"/>
      <c r="G169" s="34"/>
      <c r="H169" s="34"/>
      <c r="I169" s="34"/>
      <c r="J169" s="34"/>
      <c r="K169" s="77"/>
    </row>
    <row r="170" spans="1:11" s="8" customFormat="1" ht="15" customHeight="1">
      <c r="A170" s="104" t="s">
        <v>136</v>
      </c>
      <c r="B170" s="10" t="s">
        <v>600</v>
      </c>
      <c r="C170" s="120">
        <f>SUM(D170:J170)</f>
        <v>2500</v>
      </c>
      <c r="D170" s="95"/>
      <c r="E170" s="95"/>
      <c r="F170" s="95">
        <f>500-500</f>
        <v>0</v>
      </c>
      <c r="G170" s="34">
        <v>2500</v>
      </c>
      <c r="H170" s="34"/>
      <c r="I170" s="34"/>
      <c r="J170" s="34"/>
      <c r="K170" s="77"/>
    </row>
    <row r="171" spans="1:11" s="8" customFormat="1" ht="15" customHeight="1">
      <c r="A171" s="104" t="s">
        <v>137</v>
      </c>
      <c r="B171" s="10" t="s">
        <v>602</v>
      </c>
      <c r="C171" s="120">
        <f>SUM(D171:J171)</f>
        <v>0</v>
      </c>
      <c r="D171" s="95"/>
      <c r="E171" s="95"/>
      <c r="F171" s="95"/>
      <c r="G171" s="34"/>
      <c r="H171" s="34"/>
      <c r="I171" s="34"/>
      <c r="J171" s="34"/>
      <c r="K171" s="77"/>
    </row>
    <row r="172" spans="1:11" s="8" customFormat="1" ht="35.25" customHeight="1">
      <c r="A172" s="104"/>
      <c r="B172" s="93" t="s">
        <v>289</v>
      </c>
      <c r="C172" s="120"/>
      <c r="D172" s="95"/>
      <c r="E172" s="95"/>
      <c r="F172" s="95"/>
      <c r="G172" s="34"/>
      <c r="H172" s="34"/>
      <c r="I172" s="34"/>
      <c r="J172" s="34"/>
      <c r="K172" s="77"/>
    </row>
    <row r="173" spans="1:11" s="8" customFormat="1" ht="15" customHeight="1">
      <c r="A173" s="104" t="s">
        <v>138</v>
      </c>
      <c r="B173" s="10" t="s">
        <v>600</v>
      </c>
      <c r="C173" s="120">
        <f>SUM(D173:J173)</f>
        <v>500</v>
      </c>
      <c r="D173" s="95"/>
      <c r="E173" s="95"/>
      <c r="F173" s="95">
        <f>4500-4500</f>
        <v>0</v>
      </c>
      <c r="G173" s="34">
        <v>500</v>
      </c>
      <c r="H173" s="34"/>
      <c r="I173" s="34"/>
      <c r="J173" s="34"/>
      <c r="K173" s="77"/>
    </row>
    <row r="174" spans="1:11" s="8" customFormat="1" ht="15" customHeight="1">
      <c r="A174" s="104" t="s">
        <v>139</v>
      </c>
      <c r="B174" s="10" t="s">
        <v>602</v>
      </c>
      <c r="C174" s="120">
        <f>SUM(D174:J174)</f>
        <v>0</v>
      </c>
      <c r="D174" s="95"/>
      <c r="E174" s="95"/>
      <c r="F174" s="95"/>
      <c r="G174" s="34"/>
      <c r="H174" s="34"/>
      <c r="I174" s="34"/>
      <c r="J174" s="34"/>
      <c r="K174" s="77"/>
    </row>
    <row r="175" spans="1:11" s="8" customFormat="1" ht="15" customHeight="1">
      <c r="A175" s="103"/>
      <c r="B175" s="10"/>
      <c r="C175" s="115"/>
      <c r="D175" s="155"/>
      <c r="E175" s="155"/>
      <c r="F175" s="121"/>
      <c r="G175" s="19"/>
      <c r="H175" s="19"/>
      <c r="I175" s="19"/>
      <c r="J175" s="19"/>
      <c r="K175" s="73"/>
    </row>
    <row r="176" spans="1:11" s="8" customFormat="1" ht="15" customHeight="1">
      <c r="A176" s="173"/>
      <c r="B176" s="224" t="s">
        <v>2</v>
      </c>
      <c r="C176" s="225"/>
      <c r="D176" s="225"/>
      <c r="E176" s="225"/>
      <c r="F176" s="225"/>
      <c r="G176" s="225"/>
      <c r="H176" s="225"/>
      <c r="I176" s="225"/>
      <c r="J176" s="225"/>
      <c r="K176" s="226"/>
    </row>
    <row r="177" spans="1:11" s="39" customFormat="1" ht="22.5" customHeight="1">
      <c r="A177" s="103" t="s">
        <v>140</v>
      </c>
      <c r="B177" s="43" t="s">
        <v>3</v>
      </c>
      <c r="C177" s="97">
        <f>SUM(D177:J177)</f>
        <v>2459713.0949999997</v>
      </c>
      <c r="D177" s="97">
        <f>SUM(D178:D181)</f>
        <v>364991.669</v>
      </c>
      <c r="E177" s="97">
        <f aca="true" t="shared" si="67" ref="E177:J177">SUM(E178:E181)</f>
        <v>311126.389</v>
      </c>
      <c r="F177" s="120">
        <f>SUM(F178:F181)</f>
        <v>334495.037</v>
      </c>
      <c r="G177" s="18">
        <f t="shared" si="67"/>
        <v>326606</v>
      </c>
      <c r="H177" s="18">
        <f t="shared" si="67"/>
        <v>376048</v>
      </c>
      <c r="I177" s="18">
        <f t="shared" si="67"/>
        <v>375948</v>
      </c>
      <c r="J177" s="18">
        <f t="shared" si="67"/>
        <v>370498</v>
      </c>
      <c r="K177" s="72"/>
    </row>
    <row r="178" spans="1:11" s="8" customFormat="1" ht="15" customHeight="1">
      <c r="A178" s="103" t="s">
        <v>141</v>
      </c>
      <c r="B178" s="10" t="s">
        <v>600</v>
      </c>
      <c r="C178" s="97">
        <f>SUM(D178:J178)</f>
        <v>986072.969</v>
      </c>
      <c r="D178" s="96">
        <f aca="true" t="shared" si="68" ref="D178:J178">SUM(D184+D195+D225+D236+D239+D254+D265+D269+D270+D276+D283)</f>
        <v>163755.794</v>
      </c>
      <c r="E178" s="96">
        <f t="shared" si="68"/>
        <v>130901.93800000001</v>
      </c>
      <c r="F178" s="96">
        <f t="shared" si="68"/>
        <v>102652.23700000002</v>
      </c>
      <c r="G178" s="33">
        <f t="shared" si="68"/>
        <v>136628</v>
      </c>
      <c r="H178" s="33">
        <f t="shared" si="68"/>
        <v>152595</v>
      </c>
      <c r="I178" s="33">
        <f t="shared" si="68"/>
        <v>152495</v>
      </c>
      <c r="J178" s="33">
        <f t="shared" si="68"/>
        <v>147045</v>
      </c>
      <c r="K178" s="79"/>
    </row>
    <row r="179" spans="1:11" s="8" customFormat="1" ht="15" customHeight="1">
      <c r="A179" s="103" t="s">
        <v>142</v>
      </c>
      <c r="B179" s="10" t="s">
        <v>601</v>
      </c>
      <c r="C179" s="97">
        <f>SUM(D179:J179)</f>
        <v>7508.806</v>
      </c>
      <c r="D179" s="96">
        <f aca="true" t="shared" si="69" ref="D179:J179">SUM(D226+D256+D285)</f>
        <v>1155.675</v>
      </c>
      <c r="E179" s="96">
        <f t="shared" si="69"/>
        <v>2441.431</v>
      </c>
      <c r="F179" s="96">
        <f t="shared" si="69"/>
        <v>3911.7</v>
      </c>
      <c r="G179" s="33">
        <f t="shared" si="69"/>
        <v>0</v>
      </c>
      <c r="H179" s="33">
        <f t="shared" si="69"/>
        <v>0</v>
      </c>
      <c r="I179" s="33">
        <f t="shared" si="69"/>
        <v>0</v>
      </c>
      <c r="J179" s="33">
        <f t="shared" si="69"/>
        <v>0</v>
      </c>
      <c r="K179" s="73"/>
    </row>
    <row r="180" spans="1:11" s="8" customFormat="1" ht="15" customHeight="1">
      <c r="A180" s="103" t="s">
        <v>143</v>
      </c>
      <c r="B180" s="10" t="s">
        <v>602</v>
      </c>
      <c r="C180" s="97">
        <f>SUM(D180:J180)</f>
        <v>1453433.92</v>
      </c>
      <c r="D180" s="96">
        <f aca="true" t="shared" si="70" ref="D180:J180">SUM(D185+D196+D227+D233+D246+D251+D255+D266+D271+D277+D284)</f>
        <v>195882.8</v>
      </c>
      <c r="E180" s="96">
        <f t="shared" si="70"/>
        <v>177783.02000000002</v>
      </c>
      <c r="F180" s="96">
        <f t="shared" si="70"/>
        <v>226231.1</v>
      </c>
      <c r="G180" s="33">
        <f t="shared" si="70"/>
        <v>188278</v>
      </c>
      <c r="H180" s="33">
        <f t="shared" si="70"/>
        <v>221753</v>
      </c>
      <c r="I180" s="33">
        <f t="shared" si="70"/>
        <v>221753</v>
      </c>
      <c r="J180" s="33">
        <f t="shared" si="70"/>
        <v>221753</v>
      </c>
      <c r="K180" s="73"/>
    </row>
    <row r="181" spans="1:11" s="8" customFormat="1" ht="15" customHeight="1">
      <c r="A181" s="103" t="s">
        <v>144</v>
      </c>
      <c r="B181" s="12" t="s">
        <v>603</v>
      </c>
      <c r="C181" s="97">
        <f>SUM(D181:J181)</f>
        <v>12697.4</v>
      </c>
      <c r="D181" s="96">
        <f aca="true" t="shared" si="71" ref="D181:J181">SUM(D243)</f>
        <v>4197.4</v>
      </c>
      <c r="E181" s="96">
        <f t="shared" si="71"/>
        <v>0</v>
      </c>
      <c r="F181" s="96">
        <f t="shared" si="71"/>
        <v>1700</v>
      </c>
      <c r="G181" s="33">
        <f t="shared" si="71"/>
        <v>1700</v>
      </c>
      <c r="H181" s="33">
        <f t="shared" si="71"/>
        <v>1700</v>
      </c>
      <c r="I181" s="33">
        <f t="shared" si="71"/>
        <v>1700</v>
      </c>
      <c r="J181" s="33">
        <f t="shared" si="71"/>
        <v>1700</v>
      </c>
      <c r="K181" s="73"/>
    </row>
    <row r="182" spans="1:11" s="8" customFormat="1" ht="15" customHeight="1">
      <c r="A182" s="103"/>
      <c r="B182" s="12"/>
      <c r="C182" s="97"/>
      <c r="D182" s="117"/>
      <c r="E182" s="117"/>
      <c r="F182" s="95"/>
      <c r="G182" s="22"/>
      <c r="H182" s="22"/>
      <c r="I182" s="22"/>
      <c r="J182" s="22"/>
      <c r="K182" s="73"/>
    </row>
    <row r="183" spans="1:11" s="39" customFormat="1" ht="50.25" customHeight="1">
      <c r="A183" s="104" t="s">
        <v>145</v>
      </c>
      <c r="B183" s="43" t="s">
        <v>332</v>
      </c>
      <c r="C183" s="115">
        <f>SUM(C184:C185)</f>
        <v>13470.378</v>
      </c>
      <c r="D183" s="115">
        <f>SUM(D184:D185)</f>
        <v>0</v>
      </c>
      <c r="E183" s="115">
        <f aca="true" t="shared" si="72" ref="E183:J183">SUM(E184:E185)</f>
        <v>0</v>
      </c>
      <c r="F183" s="114">
        <f t="shared" si="72"/>
        <v>970.378</v>
      </c>
      <c r="G183" s="16">
        <f t="shared" si="72"/>
        <v>3500</v>
      </c>
      <c r="H183" s="16">
        <f t="shared" si="72"/>
        <v>3000</v>
      </c>
      <c r="I183" s="16">
        <f t="shared" si="72"/>
        <v>3000</v>
      </c>
      <c r="J183" s="16">
        <f t="shared" si="72"/>
        <v>3000</v>
      </c>
      <c r="K183" s="77" t="s">
        <v>455</v>
      </c>
    </row>
    <row r="184" spans="1:11" s="8" customFormat="1" ht="15" customHeight="1">
      <c r="A184" s="103" t="s">
        <v>146</v>
      </c>
      <c r="B184" s="10" t="s">
        <v>600</v>
      </c>
      <c r="C184" s="97">
        <f>SUM(D184:J184)</f>
        <v>13470.378</v>
      </c>
      <c r="D184" s="155">
        <f aca="true" t="shared" si="73" ref="D184:J184">SUM(D187:D192)</f>
        <v>0</v>
      </c>
      <c r="E184" s="155">
        <f t="shared" si="73"/>
        <v>0</v>
      </c>
      <c r="F184" s="121">
        <f t="shared" si="73"/>
        <v>970.378</v>
      </c>
      <c r="G184" s="19">
        <f t="shared" si="73"/>
        <v>3500</v>
      </c>
      <c r="H184" s="19">
        <f t="shared" si="73"/>
        <v>3000</v>
      </c>
      <c r="I184" s="19">
        <f t="shared" si="73"/>
        <v>3000</v>
      </c>
      <c r="J184" s="19">
        <f t="shared" si="73"/>
        <v>3000</v>
      </c>
      <c r="K184" s="73"/>
    </row>
    <row r="185" spans="1:11" s="8" customFormat="1" ht="15" customHeight="1">
      <c r="A185" s="103" t="s">
        <v>147</v>
      </c>
      <c r="B185" s="10" t="s">
        <v>602</v>
      </c>
      <c r="C185" s="97">
        <f aca="true" t="shared" si="74" ref="C185:C192">SUM(D185:J185)</f>
        <v>0</v>
      </c>
      <c r="D185" s="155"/>
      <c r="E185" s="155"/>
      <c r="F185" s="121"/>
      <c r="G185" s="19"/>
      <c r="H185" s="19"/>
      <c r="I185" s="19"/>
      <c r="J185" s="19"/>
      <c r="K185" s="73"/>
    </row>
    <row r="186" spans="1:11" s="13" customFormat="1" ht="15" customHeight="1">
      <c r="A186" s="103"/>
      <c r="B186" s="12" t="s">
        <v>6</v>
      </c>
      <c r="C186" s="97">
        <f t="shared" si="74"/>
        <v>0</v>
      </c>
      <c r="D186" s="154"/>
      <c r="E186" s="154"/>
      <c r="F186" s="153"/>
      <c r="G186" s="20"/>
      <c r="H186" s="20"/>
      <c r="I186" s="20"/>
      <c r="J186" s="20"/>
      <c r="K186" s="75"/>
    </row>
    <row r="187" spans="1:11" s="8" customFormat="1" ht="15" customHeight="1">
      <c r="A187" s="103" t="s">
        <v>148</v>
      </c>
      <c r="B187" s="10" t="s">
        <v>16</v>
      </c>
      <c r="C187" s="97">
        <f t="shared" si="74"/>
        <v>0</v>
      </c>
      <c r="D187" s="155"/>
      <c r="E187" s="155"/>
      <c r="F187" s="121"/>
      <c r="G187" s="19"/>
      <c r="H187" s="19"/>
      <c r="I187" s="19"/>
      <c r="J187" s="19"/>
      <c r="K187" s="73"/>
    </row>
    <row r="188" spans="1:11" s="8" customFormat="1" ht="15" customHeight="1">
      <c r="A188" s="103" t="s">
        <v>149</v>
      </c>
      <c r="B188" s="10" t="s">
        <v>17</v>
      </c>
      <c r="C188" s="97">
        <f t="shared" si="74"/>
        <v>2000</v>
      </c>
      <c r="D188" s="155"/>
      <c r="E188" s="155"/>
      <c r="F188" s="121"/>
      <c r="G188" s="19">
        <v>2000</v>
      </c>
      <c r="H188" s="19"/>
      <c r="I188" s="19"/>
      <c r="J188" s="19"/>
      <c r="K188" s="73"/>
    </row>
    <row r="189" spans="1:11" s="8" customFormat="1" ht="15" customHeight="1">
      <c r="A189" s="103" t="s">
        <v>150</v>
      </c>
      <c r="B189" s="10" t="s">
        <v>15</v>
      </c>
      <c r="C189" s="97">
        <f t="shared" si="74"/>
        <v>3970.378</v>
      </c>
      <c r="D189" s="155"/>
      <c r="E189" s="155"/>
      <c r="F189" s="121">
        <f>970.378</f>
        <v>970.378</v>
      </c>
      <c r="G189" s="19"/>
      <c r="H189" s="19">
        <v>3000</v>
      </c>
      <c r="I189" s="19"/>
      <c r="J189" s="19"/>
      <c r="K189" s="73"/>
    </row>
    <row r="190" spans="1:11" s="8" customFormat="1" ht="15" customHeight="1">
      <c r="A190" s="103" t="s">
        <v>151</v>
      </c>
      <c r="B190" s="10" t="s">
        <v>80</v>
      </c>
      <c r="C190" s="97">
        <f t="shared" si="74"/>
        <v>2500</v>
      </c>
      <c r="D190" s="155"/>
      <c r="E190" s="155"/>
      <c r="F190" s="121"/>
      <c r="G190" s="19">
        <v>1500</v>
      </c>
      <c r="H190" s="19"/>
      <c r="I190" s="19">
        <v>1000</v>
      </c>
      <c r="J190" s="19"/>
      <c r="K190" s="73"/>
    </row>
    <row r="191" spans="1:11" s="8" customFormat="1" ht="15" customHeight="1">
      <c r="A191" s="103" t="s">
        <v>152</v>
      </c>
      <c r="B191" s="10" t="s">
        <v>385</v>
      </c>
      <c r="C191" s="97">
        <f t="shared" si="74"/>
        <v>2000</v>
      </c>
      <c r="D191" s="155"/>
      <c r="E191" s="155"/>
      <c r="F191" s="121"/>
      <c r="G191" s="19"/>
      <c r="H191" s="19"/>
      <c r="I191" s="19">
        <v>2000</v>
      </c>
      <c r="J191" s="19"/>
      <c r="K191" s="73"/>
    </row>
    <row r="192" spans="1:11" s="8" customFormat="1" ht="15" customHeight="1">
      <c r="A192" s="103" t="s">
        <v>153</v>
      </c>
      <c r="B192" s="10" t="s">
        <v>81</v>
      </c>
      <c r="C192" s="97">
        <f t="shared" si="74"/>
        <v>3000</v>
      </c>
      <c r="D192" s="155"/>
      <c r="E192" s="155"/>
      <c r="F192" s="121"/>
      <c r="G192" s="19"/>
      <c r="H192" s="19"/>
      <c r="I192" s="19"/>
      <c r="J192" s="19">
        <v>3000</v>
      </c>
      <c r="K192" s="73"/>
    </row>
    <row r="193" spans="1:11" s="8" customFormat="1" ht="15" customHeight="1">
      <c r="A193" s="103"/>
      <c r="B193" s="10"/>
      <c r="C193" s="97"/>
      <c r="D193" s="155"/>
      <c r="E193" s="155"/>
      <c r="F193" s="121"/>
      <c r="G193" s="19"/>
      <c r="H193" s="19"/>
      <c r="I193" s="19"/>
      <c r="J193" s="19"/>
      <c r="K193" s="73"/>
    </row>
    <row r="194" spans="1:11" s="39" customFormat="1" ht="94.5">
      <c r="A194" s="103" t="s">
        <v>154</v>
      </c>
      <c r="B194" s="43" t="s">
        <v>333</v>
      </c>
      <c r="C194" s="115">
        <f>SUM(C195:C196)</f>
        <v>52914.55500000001</v>
      </c>
      <c r="D194" s="115">
        <f aca="true" t="shared" si="75" ref="D194:J194">SUM(D195:D196)</f>
        <v>8429.987000000001</v>
      </c>
      <c r="E194" s="114">
        <f>SUM(E195:E196)</f>
        <v>8229.652999999998</v>
      </c>
      <c r="F194" s="114">
        <f t="shared" si="75"/>
        <v>3454.915</v>
      </c>
      <c r="G194" s="16">
        <f t="shared" si="75"/>
        <v>21800</v>
      </c>
      <c r="H194" s="16">
        <f t="shared" si="75"/>
        <v>5550</v>
      </c>
      <c r="I194" s="16">
        <f t="shared" si="75"/>
        <v>5450</v>
      </c>
      <c r="J194" s="16">
        <f t="shared" si="75"/>
        <v>0</v>
      </c>
      <c r="K194" s="77" t="s">
        <v>454</v>
      </c>
    </row>
    <row r="195" spans="1:11" s="8" customFormat="1" ht="15" customHeight="1">
      <c r="A195" s="103" t="s">
        <v>155</v>
      </c>
      <c r="B195" s="10" t="s">
        <v>600</v>
      </c>
      <c r="C195" s="97">
        <f>SUM(D195:J195)</f>
        <v>50890.755000000005</v>
      </c>
      <c r="D195" s="95">
        <v>7281.987</v>
      </c>
      <c r="E195" s="95">
        <f aca="true" t="shared" si="76" ref="E195:J195">E198+E213</f>
        <v>7353.852999999999</v>
      </c>
      <c r="F195" s="95">
        <f t="shared" si="76"/>
        <v>3454.915</v>
      </c>
      <c r="G195" s="95">
        <f t="shared" si="76"/>
        <v>21800</v>
      </c>
      <c r="H195" s="95">
        <f t="shared" si="76"/>
        <v>5550</v>
      </c>
      <c r="I195" s="95">
        <f t="shared" si="76"/>
        <v>5450</v>
      </c>
      <c r="J195" s="95">
        <f t="shared" si="76"/>
        <v>0</v>
      </c>
      <c r="K195" s="79"/>
    </row>
    <row r="196" spans="1:11" s="8" customFormat="1" ht="15" customHeight="1">
      <c r="A196" s="103" t="s">
        <v>156</v>
      </c>
      <c r="B196" s="10" t="s">
        <v>602</v>
      </c>
      <c r="C196" s="97">
        <f>SUM(D196:J196)</f>
        <v>2023.8</v>
      </c>
      <c r="D196" s="95">
        <v>1148</v>
      </c>
      <c r="E196" s="95">
        <v>875.8</v>
      </c>
      <c r="F196" s="95"/>
      <c r="G196" s="22"/>
      <c r="H196" s="22"/>
      <c r="I196" s="22"/>
      <c r="J196" s="22"/>
      <c r="K196" s="79"/>
    </row>
    <row r="197" spans="1:11" s="39" customFormat="1" ht="15" customHeight="1">
      <c r="A197" s="100"/>
      <c r="B197" s="94" t="s">
        <v>92</v>
      </c>
      <c r="C197" s="97">
        <f>SUM(D197:J197)</f>
        <v>48900.358</v>
      </c>
      <c r="D197" s="114">
        <f aca="true" t="shared" si="77" ref="D197:J197">SUM(D199:D212)</f>
        <v>8429.987000000001</v>
      </c>
      <c r="E197" s="114">
        <f>SUM(E199:E212)</f>
        <v>7174.4529999999995</v>
      </c>
      <c r="F197" s="114">
        <f>SUM(F199:F212)</f>
        <v>1495.9180000000001</v>
      </c>
      <c r="G197" s="35">
        <f t="shared" si="77"/>
        <v>21800</v>
      </c>
      <c r="H197" s="35">
        <f t="shared" si="77"/>
        <v>5000</v>
      </c>
      <c r="I197" s="35">
        <f t="shared" si="77"/>
        <v>5000</v>
      </c>
      <c r="J197" s="35">
        <f t="shared" si="77"/>
        <v>0</v>
      </c>
      <c r="K197" s="74"/>
    </row>
    <row r="198" spans="1:11" s="13" customFormat="1" ht="20.25" customHeight="1">
      <c r="A198" s="100"/>
      <c r="B198" s="12" t="s">
        <v>93</v>
      </c>
      <c r="C198" s="162">
        <f>SUM(D198:J198)</f>
        <v>46876.558</v>
      </c>
      <c r="D198" s="154">
        <f>D197-D196</f>
        <v>7281.987000000001</v>
      </c>
      <c r="E198" s="154">
        <f>E197-E196</f>
        <v>6298.652999999999</v>
      </c>
      <c r="F198" s="153">
        <f>F197</f>
        <v>1495.9180000000001</v>
      </c>
      <c r="G198" s="20">
        <f>G197</f>
        <v>21800</v>
      </c>
      <c r="H198" s="20">
        <f>H197</f>
        <v>5000</v>
      </c>
      <c r="I198" s="20">
        <f>I197</f>
        <v>5000</v>
      </c>
      <c r="J198" s="20">
        <f>J197</f>
        <v>0</v>
      </c>
      <c r="K198" s="75"/>
    </row>
    <row r="199" spans="1:11" s="13" customFormat="1" ht="15" customHeight="1">
      <c r="A199" s="103" t="s">
        <v>157</v>
      </c>
      <c r="B199" s="28" t="s">
        <v>448</v>
      </c>
      <c r="C199" s="120">
        <f aca="true" t="shared" si="78" ref="C199:C212">SUM(D199:J199)</f>
        <v>5662.9439999999995</v>
      </c>
      <c r="D199" s="95">
        <v>2785.291</v>
      </c>
      <c r="E199" s="124">
        <f>2877.653</f>
        <v>2877.653</v>
      </c>
      <c r="F199" s="121">
        <f>2300-186.99-1328.01-785</f>
        <v>0</v>
      </c>
      <c r="G199" s="123"/>
      <c r="H199" s="123"/>
      <c r="I199" s="123"/>
      <c r="J199" s="123"/>
      <c r="K199" s="75"/>
    </row>
    <row r="200" spans="1:11" s="13" customFormat="1" ht="15" customHeight="1">
      <c r="A200" s="103" t="s">
        <v>158</v>
      </c>
      <c r="B200" s="12" t="s">
        <v>82</v>
      </c>
      <c r="C200" s="97">
        <f t="shared" si="78"/>
        <v>1998.382</v>
      </c>
      <c r="D200" s="95">
        <v>1998.382</v>
      </c>
      <c r="E200" s="153"/>
      <c r="F200" s="153"/>
      <c r="G200" s="20"/>
      <c r="H200" s="20"/>
      <c r="I200" s="20"/>
      <c r="J200" s="20"/>
      <c r="K200" s="75"/>
    </row>
    <row r="201" spans="1:11" s="8" customFormat="1" ht="15.75">
      <c r="A201" s="103" t="s">
        <v>159</v>
      </c>
      <c r="B201" s="10" t="s">
        <v>18</v>
      </c>
      <c r="C201" s="97">
        <f t="shared" si="78"/>
        <v>739</v>
      </c>
      <c r="D201" s="121">
        <f>1000-535</f>
        <v>465</v>
      </c>
      <c r="E201" s="121"/>
      <c r="F201" s="121">
        <f>274</f>
        <v>274</v>
      </c>
      <c r="G201" s="19"/>
      <c r="H201" s="19"/>
      <c r="I201" s="19"/>
      <c r="J201" s="19"/>
      <c r="K201" s="73"/>
    </row>
    <row r="202" spans="1:11" s="8" customFormat="1" ht="15.75">
      <c r="A202" s="103" t="s">
        <v>160</v>
      </c>
      <c r="B202" s="10" t="s">
        <v>19</v>
      </c>
      <c r="C202" s="97">
        <f t="shared" si="78"/>
        <v>12531.314</v>
      </c>
      <c r="D202" s="121">
        <f>1383.314+1148</f>
        <v>2531.3140000000003</v>
      </c>
      <c r="E202" s="121"/>
      <c r="F202" s="121"/>
      <c r="G202" s="19">
        <v>10000</v>
      </c>
      <c r="H202" s="19"/>
      <c r="I202" s="19"/>
      <c r="J202" s="19"/>
      <c r="K202" s="73"/>
    </row>
    <row r="203" spans="1:11" s="8" customFormat="1" ht="15.75">
      <c r="A203" s="103" t="s">
        <v>161</v>
      </c>
      <c r="B203" s="10" t="s">
        <v>11</v>
      </c>
      <c r="C203" s="97">
        <f t="shared" si="78"/>
        <v>909</v>
      </c>
      <c r="D203" s="121"/>
      <c r="E203" s="121">
        <f>875.8+624.2-591</f>
        <v>909</v>
      </c>
      <c r="F203" s="121"/>
      <c r="G203" s="19"/>
      <c r="H203" s="19"/>
      <c r="I203" s="19"/>
      <c r="J203" s="19"/>
      <c r="K203" s="73"/>
    </row>
    <row r="204" spans="1:11" s="8" customFormat="1" ht="15.75">
      <c r="A204" s="103" t="s">
        <v>162</v>
      </c>
      <c r="B204" s="32" t="s">
        <v>386</v>
      </c>
      <c r="C204" s="97">
        <f t="shared" si="78"/>
        <v>3387.8</v>
      </c>
      <c r="D204" s="121"/>
      <c r="E204" s="121">
        <f>2000+512+875.8</f>
        <v>3387.8</v>
      </c>
      <c r="F204" s="121"/>
      <c r="G204" s="19"/>
      <c r="H204" s="19"/>
      <c r="I204" s="19"/>
      <c r="J204" s="19"/>
      <c r="K204" s="73"/>
    </row>
    <row r="205" spans="1:11" s="8" customFormat="1" ht="15" customHeight="1">
      <c r="A205" s="103" t="s">
        <v>163</v>
      </c>
      <c r="B205" s="10" t="s">
        <v>499</v>
      </c>
      <c r="C205" s="97">
        <f t="shared" si="78"/>
        <v>5000</v>
      </c>
      <c r="D205" s="121"/>
      <c r="E205" s="121"/>
      <c r="F205" s="121"/>
      <c r="G205" s="19">
        <v>5000</v>
      </c>
      <c r="H205" s="19"/>
      <c r="I205" s="19"/>
      <c r="J205" s="19"/>
      <c r="K205" s="73"/>
    </row>
    <row r="206" spans="1:11" s="8" customFormat="1" ht="15" customHeight="1">
      <c r="A206" s="103" t="s">
        <v>164</v>
      </c>
      <c r="B206" s="32" t="s">
        <v>449</v>
      </c>
      <c r="C206" s="120">
        <f t="shared" si="78"/>
        <v>875.654</v>
      </c>
      <c r="D206" s="121"/>
      <c r="E206" s="121"/>
      <c r="F206" s="221">
        <f>1300+26-450.346</f>
        <v>875.654</v>
      </c>
      <c r="G206" s="19"/>
      <c r="H206" s="19"/>
      <c r="I206" s="19"/>
      <c r="J206" s="19"/>
      <c r="K206" s="73"/>
    </row>
    <row r="207" spans="1:11" s="8" customFormat="1" ht="15" customHeight="1">
      <c r="A207" s="103" t="s">
        <v>165</v>
      </c>
      <c r="B207" s="10" t="s">
        <v>375</v>
      </c>
      <c r="C207" s="97">
        <f t="shared" si="78"/>
        <v>346.264</v>
      </c>
      <c r="D207" s="121"/>
      <c r="E207" s="121"/>
      <c r="F207" s="221">
        <f>800-453.736</f>
        <v>346.264</v>
      </c>
      <c r="G207" s="19"/>
      <c r="H207" s="19"/>
      <c r="I207" s="19"/>
      <c r="J207" s="19"/>
      <c r="K207" s="73"/>
    </row>
    <row r="208" spans="1:11" s="8" customFormat="1" ht="15" customHeight="1">
      <c r="A208" s="103" t="s">
        <v>166</v>
      </c>
      <c r="B208" s="10" t="s">
        <v>387</v>
      </c>
      <c r="C208" s="97">
        <f t="shared" si="78"/>
        <v>4000</v>
      </c>
      <c r="D208" s="121"/>
      <c r="E208" s="121"/>
      <c r="F208" s="121"/>
      <c r="G208" s="19">
        <v>2000</v>
      </c>
      <c r="H208" s="19">
        <v>2000</v>
      </c>
      <c r="I208" s="19"/>
      <c r="J208" s="19"/>
      <c r="K208" s="73"/>
    </row>
    <row r="209" spans="1:11" s="8" customFormat="1" ht="15" customHeight="1">
      <c r="A209" s="103" t="s">
        <v>167</v>
      </c>
      <c r="B209" s="10" t="s">
        <v>54</v>
      </c>
      <c r="C209" s="97">
        <f t="shared" si="78"/>
        <v>3000</v>
      </c>
      <c r="D209" s="121"/>
      <c r="E209" s="121"/>
      <c r="F209" s="121"/>
      <c r="G209" s="19">
        <v>2000</v>
      </c>
      <c r="H209" s="19">
        <v>1000</v>
      </c>
      <c r="I209" s="19"/>
      <c r="J209" s="19"/>
      <c r="K209" s="73"/>
    </row>
    <row r="210" spans="1:11" s="8" customFormat="1" ht="15" customHeight="1">
      <c r="A210" s="103" t="s">
        <v>168</v>
      </c>
      <c r="B210" s="10" t="s">
        <v>388</v>
      </c>
      <c r="C210" s="97">
        <f>SUM(D210:J210)</f>
        <v>5000</v>
      </c>
      <c r="D210" s="121"/>
      <c r="E210" s="121"/>
      <c r="F210" s="121"/>
      <c r="G210" s="19"/>
      <c r="H210" s="19"/>
      <c r="I210" s="19">
        <v>5000</v>
      </c>
      <c r="J210" s="19"/>
      <c r="K210" s="73"/>
    </row>
    <row r="211" spans="1:11" s="8" customFormat="1" ht="15" customHeight="1">
      <c r="A211" s="103" t="s">
        <v>169</v>
      </c>
      <c r="B211" s="10" t="s">
        <v>500</v>
      </c>
      <c r="C211" s="97">
        <f t="shared" si="78"/>
        <v>4800</v>
      </c>
      <c r="D211" s="121"/>
      <c r="E211" s="121"/>
      <c r="F211" s="121"/>
      <c r="G211" s="19">
        <v>2800</v>
      </c>
      <c r="H211" s="19">
        <v>2000</v>
      </c>
      <c r="I211" s="19"/>
      <c r="J211" s="19"/>
      <c r="K211" s="73"/>
    </row>
    <row r="212" spans="1:11" s="8" customFormat="1" ht="15" customHeight="1">
      <c r="A212" s="103" t="s">
        <v>170</v>
      </c>
      <c r="B212" s="10" t="s">
        <v>4</v>
      </c>
      <c r="C212" s="97">
        <f t="shared" si="78"/>
        <v>650</v>
      </c>
      <c r="D212" s="121">
        <v>650</v>
      </c>
      <c r="E212" s="121"/>
      <c r="F212" s="121"/>
      <c r="G212" s="19"/>
      <c r="H212" s="19"/>
      <c r="I212" s="19"/>
      <c r="J212" s="19"/>
      <c r="K212" s="73"/>
    </row>
    <row r="213" spans="1:11" s="7" customFormat="1" ht="32.25" customHeight="1">
      <c r="A213" s="103"/>
      <c r="B213" s="93" t="s">
        <v>91</v>
      </c>
      <c r="C213" s="97">
        <f>SUM(D213:J213)</f>
        <v>4014.197</v>
      </c>
      <c r="D213" s="114">
        <f aca="true" t="shared" si="79" ref="D213:J213">SUM(D214:D222)</f>
        <v>0</v>
      </c>
      <c r="E213" s="114">
        <f>SUM(E214:E222)</f>
        <v>1055.2</v>
      </c>
      <c r="F213" s="114">
        <f>SUM(F214:F222)</f>
        <v>1958.9969999999998</v>
      </c>
      <c r="G213" s="16">
        <f t="shared" si="79"/>
        <v>0</v>
      </c>
      <c r="H213" s="16">
        <f t="shared" si="79"/>
        <v>550</v>
      </c>
      <c r="I213" s="16">
        <f t="shared" si="79"/>
        <v>450</v>
      </c>
      <c r="J213" s="16">
        <f t="shared" si="79"/>
        <v>0</v>
      </c>
      <c r="K213" s="80"/>
    </row>
    <row r="214" spans="1:11" s="8" customFormat="1" ht="15" customHeight="1">
      <c r="A214" s="99" t="s">
        <v>171</v>
      </c>
      <c r="B214" s="11" t="s">
        <v>84</v>
      </c>
      <c r="C214" s="97">
        <f>SUM(D214:J214)</f>
        <v>800</v>
      </c>
      <c r="D214" s="121"/>
      <c r="E214" s="121">
        <f>1000-200</f>
        <v>800</v>
      </c>
      <c r="F214" s="121"/>
      <c r="G214" s="19"/>
      <c r="H214" s="19"/>
      <c r="I214" s="19"/>
      <c r="J214" s="19"/>
      <c r="K214" s="73"/>
    </row>
    <row r="215" spans="1:11" s="8" customFormat="1" ht="15" customHeight="1">
      <c r="A215" s="99" t="s">
        <v>172</v>
      </c>
      <c r="B215" s="11" t="s">
        <v>85</v>
      </c>
      <c r="C215" s="97">
        <f aca="true" t="shared" si="80" ref="C215:C222">SUM(D215:J215)</f>
        <v>824</v>
      </c>
      <c r="D215" s="121"/>
      <c r="E215" s="121"/>
      <c r="F215" s="121">
        <f>400-26</f>
        <v>374</v>
      </c>
      <c r="G215" s="19"/>
      <c r="H215" s="19"/>
      <c r="I215" s="19">
        <v>450</v>
      </c>
      <c r="J215" s="19"/>
      <c r="K215" s="73"/>
    </row>
    <row r="216" spans="1:11" s="8" customFormat="1" ht="15" customHeight="1">
      <c r="A216" s="99" t="s">
        <v>173</v>
      </c>
      <c r="B216" s="11" t="s">
        <v>15</v>
      </c>
      <c r="C216" s="97">
        <f t="shared" si="80"/>
        <v>785</v>
      </c>
      <c r="D216" s="121"/>
      <c r="E216" s="121"/>
      <c r="F216" s="121">
        <f>785</f>
        <v>785</v>
      </c>
      <c r="G216" s="19"/>
      <c r="H216" s="19"/>
      <c r="I216" s="19"/>
      <c r="J216" s="19"/>
      <c r="K216" s="73"/>
    </row>
    <row r="217" spans="1:11" s="8" customFormat="1" ht="15" customHeight="1">
      <c r="A217" s="99" t="s">
        <v>174</v>
      </c>
      <c r="B217" s="11" t="s">
        <v>86</v>
      </c>
      <c r="C217" s="97">
        <f t="shared" si="80"/>
        <v>0</v>
      </c>
      <c r="D217" s="121"/>
      <c r="E217" s="121"/>
      <c r="F217" s="121"/>
      <c r="G217" s="29"/>
      <c r="H217" s="29"/>
      <c r="I217" s="29"/>
      <c r="J217" s="19"/>
      <c r="K217" s="73"/>
    </row>
    <row r="218" spans="1:11" s="8" customFormat="1" ht="15" customHeight="1">
      <c r="A218" s="99" t="s">
        <v>175</v>
      </c>
      <c r="B218" s="90" t="s">
        <v>389</v>
      </c>
      <c r="C218" s="97">
        <f t="shared" si="80"/>
        <v>550</v>
      </c>
      <c r="D218" s="121"/>
      <c r="E218" s="121"/>
      <c r="F218" s="124"/>
      <c r="G218" s="29"/>
      <c r="H218" s="29">
        <f>550</f>
        <v>550</v>
      </c>
      <c r="I218" s="29"/>
      <c r="J218" s="19"/>
      <c r="K218" s="73"/>
    </row>
    <row r="219" spans="1:11" s="8" customFormat="1" ht="15" customHeight="1">
      <c r="A219" s="99" t="s">
        <v>176</v>
      </c>
      <c r="B219" s="11" t="s">
        <v>20</v>
      </c>
      <c r="C219" s="97">
        <f t="shared" si="80"/>
        <v>799.997</v>
      </c>
      <c r="D219" s="121"/>
      <c r="E219" s="121"/>
      <c r="F219" s="121">
        <f>800-0.003</f>
        <v>799.997</v>
      </c>
      <c r="G219" s="29"/>
      <c r="H219" s="29"/>
      <c r="I219" s="29"/>
      <c r="J219" s="19"/>
      <c r="K219" s="73"/>
    </row>
    <row r="220" spans="1:11" s="8" customFormat="1" ht="15" customHeight="1">
      <c r="A220" s="99" t="s">
        <v>177</v>
      </c>
      <c r="B220" s="11" t="s">
        <v>56</v>
      </c>
      <c r="C220" s="97">
        <f t="shared" si="80"/>
        <v>255.2</v>
      </c>
      <c r="D220" s="121"/>
      <c r="E220" s="121">
        <f>550-110-184.8</f>
        <v>255.2</v>
      </c>
      <c r="F220" s="121"/>
      <c r="G220" s="29"/>
      <c r="H220" s="29"/>
      <c r="I220" s="29"/>
      <c r="J220" s="19"/>
      <c r="K220" s="73"/>
    </row>
    <row r="221" spans="1:11" s="8" customFormat="1" ht="15" customHeight="1">
      <c r="A221" s="99" t="s">
        <v>178</v>
      </c>
      <c r="B221" s="11" t="s">
        <v>57</v>
      </c>
      <c r="C221" s="97">
        <f t="shared" si="80"/>
        <v>0</v>
      </c>
      <c r="D221" s="121"/>
      <c r="E221" s="121"/>
      <c r="F221" s="121"/>
      <c r="G221" s="29"/>
      <c r="H221" s="29"/>
      <c r="I221" s="29"/>
      <c r="J221" s="19"/>
      <c r="K221" s="73"/>
    </row>
    <row r="222" spans="1:11" s="8" customFormat="1" ht="15" customHeight="1">
      <c r="A222" s="99" t="s">
        <v>179</v>
      </c>
      <c r="B222" s="11" t="s">
        <v>87</v>
      </c>
      <c r="C222" s="97">
        <f t="shared" si="80"/>
        <v>0</v>
      </c>
      <c r="D222" s="121"/>
      <c r="E222" s="121"/>
      <c r="F222" s="121"/>
      <c r="G222" s="29"/>
      <c r="H222" s="29">
        <f>550-550</f>
        <v>0</v>
      </c>
      <c r="I222" s="29"/>
      <c r="J222" s="19"/>
      <c r="K222" s="73"/>
    </row>
    <row r="223" spans="1:11" s="8" customFormat="1" ht="15" customHeight="1">
      <c r="A223" s="104"/>
      <c r="B223" s="5"/>
      <c r="C223" s="97"/>
      <c r="D223" s="155"/>
      <c r="E223" s="121"/>
      <c r="F223" s="121"/>
      <c r="G223" s="19"/>
      <c r="H223" s="19"/>
      <c r="I223" s="19"/>
      <c r="J223" s="19"/>
      <c r="K223" s="73"/>
    </row>
    <row r="224" spans="1:11" s="7" customFormat="1" ht="63" customHeight="1">
      <c r="A224" s="104" t="s">
        <v>180</v>
      </c>
      <c r="B224" s="42" t="s">
        <v>334</v>
      </c>
      <c r="C224" s="115">
        <f>SUM(C225:C227)</f>
        <v>2694.4</v>
      </c>
      <c r="D224" s="115">
        <f>SUM(D225:D226)</f>
        <v>0</v>
      </c>
      <c r="E224" s="114">
        <f>SUM(E225:E227)</f>
        <v>2694.4</v>
      </c>
      <c r="F224" s="114">
        <f>SUM(F225:F226)</f>
        <v>0</v>
      </c>
      <c r="G224" s="35">
        <f>SUM(G225:G226)</f>
        <v>0</v>
      </c>
      <c r="H224" s="35">
        <f>SUM(H225:H226)</f>
        <v>0</v>
      </c>
      <c r="I224" s="35">
        <f>SUM(I225:I226)</f>
        <v>0</v>
      </c>
      <c r="J224" s="35">
        <f>SUM(J225:J226)</f>
        <v>0</v>
      </c>
      <c r="K224" s="77" t="s">
        <v>453</v>
      </c>
    </row>
    <row r="225" spans="1:11" s="8" customFormat="1" ht="15" customHeight="1">
      <c r="A225" s="103" t="s">
        <v>181</v>
      </c>
      <c r="B225" s="10" t="s">
        <v>600</v>
      </c>
      <c r="C225" s="97">
        <f>SUM(D225:J225)</f>
        <v>700</v>
      </c>
      <c r="D225" s="155"/>
      <c r="E225" s="121">
        <v>700</v>
      </c>
      <c r="F225" s="121"/>
      <c r="G225" s="29"/>
      <c r="H225" s="29"/>
      <c r="I225" s="29"/>
      <c r="J225" s="29"/>
      <c r="K225" s="77"/>
    </row>
    <row r="226" spans="1:11" s="8" customFormat="1" ht="15" customHeight="1">
      <c r="A226" s="103" t="s">
        <v>182</v>
      </c>
      <c r="B226" s="10" t="s">
        <v>601</v>
      </c>
      <c r="C226" s="97">
        <f>SUM(D226:J226)</f>
        <v>1396</v>
      </c>
      <c r="D226" s="155"/>
      <c r="E226" s="121">
        <v>1396</v>
      </c>
      <c r="F226" s="121"/>
      <c r="G226" s="29"/>
      <c r="H226" s="29"/>
      <c r="I226" s="29"/>
      <c r="J226" s="29"/>
      <c r="K226" s="77"/>
    </row>
    <row r="227" spans="1:11" s="8" customFormat="1" ht="15" customHeight="1">
      <c r="A227" s="103" t="s">
        <v>183</v>
      </c>
      <c r="B227" s="12" t="s">
        <v>602</v>
      </c>
      <c r="C227" s="97">
        <f>SUM(D227:J227)</f>
        <v>598.4</v>
      </c>
      <c r="D227" s="155"/>
      <c r="E227" s="121">
        <v>598.4</v>
      </c>
      <c r="F227" s="121"/>
      <c r="G227" s="29"/>
      <c r="H227" s="29"/>
      <c r="I227" s="29"/>
      <c r="J227" s="29"/>
      <c r="K227" s="77"/>
    </row>
    <row r="228" spans="1:11" s="13" customFormat="1" ht="15" customHeight="1">
      <c r="A228" s="100"/>
      <c r="B228" s="12" t="s">
        <v>6</v>
      </c>
      <c r="C228" s="162"/>
      <c r="D228" s="154"/>
      <c r="E228" s="153"/>
      <c r="F228" s="153"/>
      <c r="G228" s="30"/>
      <c r="H228" s="30"/>
      <c r="I228" s="30"/>
      <c r="J228" s="30"/>
      <c r="K228" s="78"/>
    </row>
    <row r="229" spans="1:11" s="8" customFormat="1" ht="15" customHeight="1">
      <c r="A229" s="103" t="s">
        <v>184</v>
      </c>
      <c r="B229" s="10" t="s">
        <v>20</v>
      </c>
      <c r="C229" s="97">
        <f>SUM(D229:J229)</f>
        <v>1347.2</v>
      </c>
      <c r="D229" s="155"/>
      <c r="E229" s="121">
        <f>350+997.2</f>
        <v>1347.2</v>
      </c>
      <c r="F229" s="121"/>
      <c r="G229" s="29"/>
      <c r="H229" s="29"/>
      <c r="I229" s="29"/>
      <c r="J229" s="29"/>
      <c r="K229" s="77"/>
    </row>
    <row r="230" spans="1:11" s="8" customFormat="1" ht="15" customHeight="1">
      <c r="A230" s="103" t="s">
        <v>185</v>
      </c>
      <c r="B230" s="10" t="s">
        <v>57</v>
      </c>
      <c r="C230" s="97">
        <f>SUM(D230:J230)</f>
        <v>1347.2</v>
      </c>
      <c r="D230" s="155"/>
      <c r="E230" s="121">
        <f>350+997.2</f>
        <v>1347.2</v>
      </c>
      <c r="F230" s="121"/>
      <c r="G230" s="29"/>
      <c r="H230" s="29"/>
      <c r="I230" s="29"/>
      <c r="J230" s="29"/>
      <c r="K230" s="77"/>
    </row>
    <row r="231" spans="1:11" s="8" customFormat="1" ht="15" customHeight="1">
      <c r="A231" s="103"/>
      <c r="B231" s="10"/>
      <c r="C231" s="97"/>
      <c r="D231" s="155"/>
      <c r="E231" s="121"/>
      <c r="F231" s="121"/>
      <c r="G231" s="29"/>
      <c r="H231" s="29"/>
      <c r="I231" s="29"/>
      <c r="J231" s="29"/>
      <c r="K231" s="77"/>
    </row>
    <row r="232" spans="1:11" s="7" customFormat="1" ht="66" customHeight="1">
      <c r="A232" s="104" t="s">
        <v>186</v>
      </c>
      <c r="B232" s="38" t="s">
        <v>335</v>
      </c>
      <c r="C232" s="115">
        <f>SUM(C233)</f>
        <v>1406327.2</v>
      </c>
      <c r="D232" s="115">
        <f>SUM(D233)</f>
        <v>166082</v>
      </c>
      <c r="E232" s="114">
        <f aca="true" t="shared" si="81" ref="E232:J232">SUM(E233)</f>
        <v>175796</v>
      </c>
      <c r="F232" s="114">
        <f t="shared" si="81"/>
        <v>210912.2</v>
      </c>
      <c r="G232" s="35">
        <f t="shared" si="81"/>
        <v>188278</v>
      </c>
      <c r="H232" s="35">
        <f t="shared" si="81"/>
        <v>221753</v>
      </c>
      <c r="I232" s="35">
        <f t="shared" si="81"/>
        <v>221753</v>
      </c>
      <c r="J232" s="35">
        <f t="shared" si="81"/>
        <v>221753</v>
      </c>
      <c r="K232" s="77" t="s">
        <v>409</v>
      </c>
    </row>
    <row r="233" spans="1:11" s="8" customFormat="1" ht="15" customHeight="1">
      <c r="A233" s="103" t="s">
        <v>187</v>
      </c>
      <c r="B233" s="10" t="s">
        <v>602</v>
      </c>
      <c r="C233" s="97">
        <f>SUM(D233:J233)</f>
        <v>1406327.2</v>
      </c>
      <c r="D233" s="95">
        <f>176507-9304-1121</f>
        <v>166082</v>
      </c>
      <c r="E233" s="95">
        <f>189957-14161</f>
        <v>175796</v>
      </c>
      <c r="F233" s="95">
        <f>209687+1225.2</f>
        <v>210912.2</v>
      </c>
      <c r="G233" s="34">
        <f>221753-33475</f>
        <v>188278</v>
      </c>
      <c r="H233" s="34">
        <v>221753</v>
      </c>
      <c r="I233" s="34">
        <v>221753</v>
      </c>
      <c r="J233" s="34">
        <v>221753</v>
      </c>
      <c r="K233" s="77"/>
    </row>
    <row r="234" spans="1:11" s="8" customFormat="1" ht="15" customHeight="1">
      <c r="A234" s="103"/>
      <c r="B234" s="10"/>
      <c r="C234" s="97"/>
      <c r="D234" s="95"/>
      <c r="E234" s="95"/>
      <c r="F234" s="95"/>
      <c r="G234" s="34"/>
      <c r="H234" s="34"/>
      <c r="I234" s="34"/>
      <c r="J234" s="34"/>
      <c r="K234" s="73"/>
    </row>
    <row r="235" spans="1:11" s="7" customFormat="1" ht="84.75" customHeight="1">
      <c r="A235" s="103" t="s">
        <v>188</v>
      </c>
      <c r="B235" s="37" t="s">
        <v>340</v>
      </c>
      <c r="C235" s="115">
        <f aca="true" t="shared" si="82" ref="C235:J235">SUM(C236)</f>
        <v>655218.375</v>
      </c>
      <c r="D235" s="114">
        <f t="shared" si="82"/>
        <v>94139.759</v>
      </c>
      <c r="E235" s="114">
        <f t="shared" si="82"/>
        <v>92123.91500000001</v>
      </c>
      <c r="F235" s="114">
        <f t="shared" si="82"/>
        <v>57457.701</v>
      </c>
      <c r="G235" s="35">
        <f t="shared" si="82"/>
        <v>77822</v>
      </c>
      <c r="H235" s="35">
        <f t="shared" si="82"/>
        <v>111225</v>
      </c>
      <c r="I235" s="35">
        <f t="shared" si="82"/>
        <v>111225</v>
      </c>
      <c r="J235" s="35">
        <f t="shared" si="82"/>
        <v>111225</v>
      </c>
      <c r="K235" s="73" t="s">
        <v>409</v>
      </c>
    </row>
    <row r="236" spans="1:11" s="8" customFormat="1" ht="15" customHeight="1">
      <c r="A236" s="103" t="s">
        <v>189</v>
      </c>
      <c r="B236" s="12" t="s">
        <v>600</v>
      </c>
      <c r="C236" s="97">
        <f>SUM(D236:J236)</f>
        <v>655218.375</v>
      </c>
      <c r="D236" s="95">
        <v>94139.759</v>
      </c>
      <c r="E236" s="95">
        <f>94122+200-996.9-482.3-0.1+0.012-718.798+0.001</f>
        <v>92123.91500000001</v>
      </c>
      <c r="F236" s="222">
        <f>48887+4500+5658.385-1600+100-87.684</f>
        <v>57457.701</v>
      </c>
      <c r="G236" s="91">
        <f>103054-1832.6-23399.4</f>
        <v>77822</v>
      </c>
      <c r="H236" s="34">
        <v>111225</v>
      </c>
      <c r="I236" s="34">
        <v>111225</v>
      </c>
      <c r="J236" s="34">
        <v>111225</v>
      </c>
      <c r="K236" s="77"/>
    </row>
    <row r="237" spans="1:11" s="8" customFormat="1" ht="15" customHeight="1">
      <c r="A237" s="103"/>
      <c r="B237" s="12"/>
      <c r="C237" s="97"/>
      <c r="D237" s="96"/>
      <c r="E237" s="96"/>
      <c r="F237" s="96"/>
      <c r="G237" s="33"/>
      <c r="H237" s="33"/>
      <c r="I237" s="33"/>
      <c r="J237" s="33"/>
      <c r="K237" s="77"/>
    </row>
    <row r="238" spans="1:11" s="8" customFormat="1" ht="66.75" customHeight="1">
      <c r="A238" s="104" t="s">
        <v>190</v>
      </c>
      <c r="B238" s="43" t="s">
        <v>336</v>
      </c>
      <c r="C238" s="97">
        <f>SUM(C239+C243)</f>
        <v>266696.618</v>
      </c>
      <c r="D238" s="120">
        <f>SUM(D239+D243)</f>
        <v>66531.448</v>
      </c>
      <c r="E238" s="120">
        <f aca="true" t="shared" si="83" ref="E238:J238">SUM(E239+E243)</f>
        <v>30574.17</v>
      </c>
      <c r="F238" s="120">
        <f t="shared" si="83"/>
        <v>31925</v>
      </c>
      <c r="G238" s="40">
        <f t="shared" si="83"/>
        <v>34106</v>
      </c>
      <c r="H238" s="40">
        <f t="shared" si="83"/>
        <v>34520</v>
      </c>
      <c r="I238" s="40">
        <f t="shared" si="83"/>
        <v>34520</v>
      </c>
      <c r="J238" s="40">
        <f t="shared" si="83"/>
        <v>34520</v>
      </c>
      <c r="K238" s="77" t="s">
        <v>452</v>
      </c>
    </row>
    <row r="239" spans="1:11" s="8" customFormat="1" ht="15" customHeight="1">
      <c r="A239" s="103" t="s">
        <v>191</v>
      </c>
      <c r="B239" s="12" t="s">
        <v>600</v>
      </c>
      <c r="C239" s="97">
        <f>SUM(D239:J239)</f>
        <v>253999.218</v>
      </c>
      <c r="D239" s="95">
        <f>SUM(D241:D242)</f>
        <v>62334.048</v>
      </c>
      <c r="E239" s="95">
        <f aca="true" t="shared" si="84" ref="E239:J239">SUM(E241:E242)</f>
        <v>30574.17</v>
      </c>
      <c r="F239" s="95">
        <f>SUM(F241:F242)</f>
        <v>30225</v>
      </c>
      <c r="G239" s="34">
        <f>SUM(G241:G242)</f>
        <v>32406</v>
      </c>
      <c r="H239" s="34">
        <f t="shared" si="84"/>
        <v>32820</v>
      </c>
      <c r="I239" s="34">
        <f t="shared" si="84"/>
        <v>32820</v>
      </c>
      <c r="J239" s="34">
        <f t="shared" si="84"/>
        <v>32820</v>
      </c>
      <c r="K239" s="73"/>
    </row>
    <row r="240" spans="1:11" s="13" customFormat="1" ht="15" customHeight="1">
      <c r="A240" s="100"/>
      <c r="B240" s="12" t="s">
        <v>9</v>
      </c>
      <c r="C240" s="162"/>
      <c r="D240" s="153"/>
      <c r="E240" s="153"/>
      <c r="F240" s="153"/>
      <c r="G240" s="30"/>
      <c r="H240" s="30"/>
      <c r="I240" s="30"/>
      <c r="J240" s="30"/>
      <c r="K240" s="75"/>
    </row>
    <row r="241" spans="1:11" s="8" customFormat="1" ht="26.25" customHeight="1">
      <c r="A241" s="103" t="s">
        <v>192</v>
      </c>
      <c r="B241" s="44" t="s">
        <v>8</v>
      </c>
      <c r="C241" s="97">
        <f>SUM(D241:J241)</f>
        <v>220975.57</v>
      </c>
      <c r="D241" s="95">
        <v>29310.4</v>
      </c>
      <c r="E241" s="95">
        <f>29445-213-39.43+300+1081.6</f>
        <v>30574.17</v>
      </c>
      <c r="F241" s="223">
        <f>28404+800+376+645</f>
        <v>30225</v>
      </c>
      <c r="G241" s="34">
        <v>32406</v>
      </c>
      <c r="H241" s="34">
        <v>32820</v>
      </c>
      <c r="I241" s="34">
        <v>32820</v>
      </c>
      <c r="J241" s="34">
        <v>32820</v>
      </c>
      <c r="K241" s="73"/>
    </row>
    <row r="242" spans="1:11" s="8" customFormat="1" ht="48.75" customHeight="1">
      <c r="A242" s="103" t="s">
        <v>193</v>
      </c>
      <c r="B242" s="45" t="s">
        <v>5</v>
      </c>
      <c r="C242" s="97">
        <f>SUM(D242:J242)</f>
        <v>33023.648</v>
      </c>
      <c r="D242" s="117">
        <v>33023.648</v>
      </c>
      <c r="E242" s="95">
        <v>0</v>
      </c>
      <c r="F242" s="95">
        <v>0</v>
      </c>
      <c r="G242" s="22">
        <v>0</v>
      </c>
      <c r="H242" s="22">
        <v>0</v>
      </c>
      <c r="I242" s="22">
        <v>0</v>
      </c>
      <c r="J242" s="22">
        <v>0</v>
      </c>
      <c r="K242" s="73"/>
    </row>
    <row r="243" spans="1:11" s="8" customFormat="1" ht="15" customHeight="1">
      <c r="A243" s="103" t="s">
        <v>194</v>
      </c>
      <c r="B243" s="10" t="s">
        <v>603</v>
      </c>
      <c r="C243" s="97">
        <f>SUM(D243:J243)</f>
        <v>12697.4</v>
      </c>
      <c r="D243" s="117">
        <v>4197.4</v>
      </c>
      <c r="E243" s="95">
        <v>0</v>
      </c>
      <c r="F243" s="95">
        <v>1700</v>
      </c>
      <c r="G243" s="34">
        <v>1700</v>
      </c>
      <c r="H243" s="34">
        <v>1700</v>
      </c>
      <c r="I243" s="34">
        <v>1700</v>
      </c>
      <c r="J243" s="34">
        <v>1700</v>
      </c>
      <c r="K243" s="73"/>
    </row>
    <row r="244" spans="1:11" s="8" customFormat="1" ht="15" customHeight="1">
      <c r="A244" s="103"/>
      <c r="B244" s="10"/>
      <c r="C244" s="97"/>
      <c r="D244" s="118"/>
      <c r="E244" s="96"/>
      <c r="F244" s="96"/>
      <c r="G244" s="21"/>
      <c r="H244" s="21"/>
      <c r="I244" s="21"/>
      <c r="J244" s="21"/>
      <c r="K244" s="73"/>
    </row>
    <row r="245" spans="1:11" s="14" customFormat="1" ht="81.75" customHeight="1">
      <c r="A245" s="102" t="s">
        <v>195</v>
      </c>
      <c r="B245" s="46" t="s">
        <v>337</v>
      </c>
      <c r="C245" s="120">
        <f>SUM(D245:J245)</f>
        <v>3124.8</v>
      </c>
      <c r="D245" s="120">
        <f>SUM(D246)</f>
        <v>3124.8</v>
      </c>
      <c r="E245" s="120">
        <f aca="true" t="shared" si="85" ref="E245:J245">SUM(E246)</f>
        <v>0</v>
      </c>
      <c r="F245" s="120">
        <f t="shared" si="85"/>
        <v>0</v>
      </c>
      <c r="G245" s="40">
        <f t="shared" si="85"/>
        <v>0</v>
      </c>
      <c r="H245" s="40">
        <f t="shared" si="85"/>
        <v>0</v>
      </c>
      <c r="I245" s="40">
        <f t="shared" si="85"/>
        <v>0</v>
      </c>
      <c r="J245" s="40">
        <f t="shared" si="85"/>
        <v>0</v>
      </c>
      <c r="K245" s="77" t="s">
        <v>408</v>
      </c>
    </row>
    <row r="246" spans="1:11" s="14" customFormat="1" ht="15" customHeight="1">
      <c r="A246" s="99" t="s">
        <v>196</v>
      </c>
      <c r="B246" s="28" t="s">
        <v>602</v>
      </c>
      <c r="C246" s="120">
        <f>SUM(D246:J246)</f>
        <v>3124.8</v>
      </c>
      <c r="D246" s="95">
        <f>SUM(D248)</f>
        <v>3124.8</v>
      </c>
      <c r="E246" s="95">
        <f aca="true" t="shared" si="86" ref="E246:J246">SUM(E248)</f>
        <v>0</v>
      </c>
      <c r="F246" s="95">
        <f t="shared" si="86"/>
        <v>0</v>
      </c>
      <c r="G246" s="34">
        <f t="shared" si="86"/>
        <v>0</v>
      </c>
      <c r="H246" s="34">
        <f t="shared" si="86"/>
        <v>0</v>
      </c>
      <c r="I246" s="34">
        <f t="shared" si="86"/>
        <v>0</v>
      </c>
      <c r="J246" s="34">
        <f t="shared" si="86"/>
        <v>0</v>
      </c>
      <c r="K246" s="77"/>
    </row>
    <row r="247" spans="1:11" s="31" customFormat="1" ht="15" customHeight="1">
      <c r="A247" s="101"/>
      <c r="B247" s="28" t="s">
        <v>9</v>
      </c>
      <c r="C247" s="161"/>
      <c r="D247" s="153"/>
      <c r="E247" s="153"/>
      <c r="F247" s="153"/>
      <c r="G247" s="30"/>
      <c r="H247" s="30"/>
      <c r="I247" s="30"/>
      <c r="J247" s="30"/>
      <c r="K247" s="78"/>
    </row>
    <row r="248" spans="1:11" s="14" customFormat="1" ht="48" customHeight="1">
      <c r="A248" s="99" t="s">
        <v>197</v>
      </c>
      <c r="B248" s="67" t="s">
        <v>5</v>
      </c>
      <c r="C248" s="120">
        <f>SUM(D248:J248)</f>
        <v>3124.8</v>
      </c>
      <c r="D248" s="95">
        <v>3124.8</v>
      </c>
      <c r="E248" s="95"/>
      <c r="F248" s="95"/>
      <c r="G248" s="34"/>
      <c r="H248" s="34"/>
      <c r="I248" s="34"/>
      <c r="J248" s="34"/>
      <c r="K248" s="77"/>
    </row>
    <row r="249" spans="1:11" s="14" customFormat="1" ht="15.75">
      <c r="A249" s="99"/>
      <c r="B249" s="67"/>
      <c r="C249" s="120"/>
      <c r="D249" s="95"/>
      <c r="E249" s="95"/>
      <c r="F249" s="95"/>
      <c r="G249" s="34"/>
      <c r="H249" s="34"/>
      <c r="I249" s="34"/>
      <c r="J249" s="34"/>
      <c r="K249" s="77"/>
    </row>
    <row r="250" spans="1:11" s="14" customFormat="1" ht="63.75" customHeight="1">
      <c r="A250" s="103" t="s">
        <v>198</v>
      </c>
      <c r="B250" s="43" t="s">
        <v>338</v>
      </c>
      <c r="C250" s="115">
        <f aca="true" t="shared" si="87" ref="C250:J250">SUM(C251)</f>
        <v>25528</v>
      </c>
      <c r="D250" s="114">
        <f t="shared" si="87"/>
        <v>25528</v>
      </c>
      <c r="E250" s="114">
        <f t="shared" si="87"/>
        <v>0</v>
      </c>
      <c r="F250" s="114">
        <f t="shared" si="87"/>
        <v>0</v>
      </c>
      <c r="G250" s="35">
        <f t="shared" si="87"/>
        <v>0</v>
      </c>
      <c r="H250" s="35">
        <f t="shared" si="87"/>
        <v>0</v>
      </c>
      <c r="I250" s="35">
        <f t="shared" si="87"/>
        <v>0</v>
      </c>
      <c r="J250" s="35">
        <f t="shared" si="87"/>
        <v>0</v>
      </c>
      <c r="K250" s="77" t="s">
        <v>451</v>
      </c>
    </row>
    <row r="251" spans="1:11" s="14" customFormat="1" ht="16.5" customHeight="1">
      <c r="A251" s="103" t="s">
        <v>199</v>
      </c>
      <c r="B251" s="10" t="s">
        <v>602</v>
      </c>
      <c r="C251" s="97">
        <f>SUM(D251:J251)</f>
        <v>25528</v>
      </c>
      <c r="D251" s="95">
        <f>27460-1932</f>
        <v>25528</v>
      </c>
      <c r="E251" s="95">
        <v>0</v>
      </c>
      <c r="F251" s="95">
        <v>0</v>
      </c>
      <c r="G251" s="34">
        <v>0</v>
      </c>
      <c r="H251" s="34">
        <v>0</v>
      </c>
      <c r="I251" s="34">
        <v>0</v>
      </c>
      <c r="J251" s="34">
        <v>0</v>
      </c>
      <c r="K251" s="73"/>
    </row>
    <row r="252" spans="1:11" s="14" customFormat="1" ht="16.5" customHeight="1">
      <c r="A252" s="103"/>
      <c r="B252" s="10"/>
      <c r="C252" s="97"/>
      <c r="D252" s="95"/>
      <c r="E252" s="95"/>
      <c r="F252" s="95"/>
      <c r="G252" s="34"/>
      <c r="H252" s="34"/>
      <c r="I252" s="34"/>
      <c r="J252" s="34"/>
      <c r="K252" s="73"/>
    </row>
    <row r="253" spans="1:11" s="8" customFormat="1" ht="66.75" customHeight="1">
      <c r="A253" s="103" t="s">
        <v>200</v>
      </c>
      <c r="B253" s="46" t="s">
        <v>339</v>
      </c>
      <c r="C253" s="114">
        <f>SUM(D253:J253)</f>
        <v>2863.9260000000004</v>
      </c>
      <c r="D253" s="114">
        <f>SUM(D254:D256)</f>
        <v>1155.675</v>
      </c>
      <c r="E253" s="114">
        <f aca="true" t="shared" si="88" ref="E253:J253">SUM(E254:E256)</f>
        <v>1708.2510000000002</v>
      </c>
      <c r="F253" s="114">
        <f t="shared" si="88"/>
        <v>0</v>
      </c>
      <c r="G253" s="35">
        <f t="shared" si="88"/>
        <v>0</v>
      </c>
      <c r="H253" s="35">
        <f t="shared" si="88"/>
        <v>0</v>
      </c>
      <c r="I253" s="35">
        <f t="shared" si="88"/>
        <v>0</v>
      </c>
      <c r="J253" s="35">
        <f t="shared" si="88"/>
        <v>0</v>
      </c>
      <c r="K253" s="77" t="s">
        <v>410</v>
      </c>
    </row>
    <row r="254" spans="1:11" s="8" customFormat="1" ht="15" customHeight="1">
      <c r="A254" s="103" t="s">
        <v>201</v>
      </c>
      <c r="B254" s="32" t="s">
        <v>600</v>
      </c>
      <c r="C254" s="120">
        <f>SUM(D254:J254)</f>
        <v>150</v>
      </c>
      <c r="D254" s="114">
        <f>SUM(D258)</f>
        <v>0</v>
      </c>
      <c r="E254" s="114">
        <f aca="true" t="shared" si="89" ref="E254:J254">SUM(E258)</f>
        <v>150</v>
      </c>
      <c r="F254" s="114">
        <f t="shared" si="89"/>
        <v>0</v>
      </c>
      <c r="G254" s="35">
        <f t="shared" si="89"/>
        <v>0</v>
      </c>
      <c r="H254" s="35">
        <f t="shared" si="89"/>
        <v>0</v>
      </c>
      <c r="I254" s="35">
        <f t="shared" si="89"/>
        <v>0</v>
      </c>
      <c r="J254" s="35">
        <f t="shared" si="89"/>
        <v>0</v>
      </c>
      <c r="K254" s="77"/>
    </row>
    <row r="255" spans="1:11" s="8" customFormat="1" ht="15" customHeight="1">
      <c r="A255" s="103" t="s">
        <v>202</v>
      </c>
      <c r="B255" s="32" t="s">
        <v>602</v>
      </c>
      <c r="C255" s="120">
        <f aca="true" t="shared" si="90" ref="C255:C262">SUM(D255:J255)</f>
        <v>512.82</v>
      </c>
      <c r="D255" s="114">
        <f>SUM(D259)</f>
        <v>0</v>
      </c>
      <c r="E255" s="114">
        <f aca="true" t="shared" si="91" ref="E255:J255">SUM(E259)</f>
        <v>512.82</v>
      </c>
      <c r="F255" s="114">
        <f t="shared" si="91"/>
        <v>0</v>
      </c>
      <c r="G255" s="35">
        <f t="shared" si="91"/>
        <v>0</v>
      </c>
      <c r="H255" s="35">
        <f t="shared" si="91"/>
        <v>0</v>
      </c>
      <c r="I255" s="35">
        <f t="shared" si="91"/>
        <v>0</v>
      </c>
      <c r="J255" s="35">
        <f t="shared" si="91"/>
        <v>0</v>
      </c>
      <c r="K255" s="77"/>
    </row>
    <row r="256" spans="1:11" s="8" customFormat="1" ht="15" customHeight="1">
      <c r="A256" s="103" t="s">
        <v>203</v>
      </c>
      <c r="B256" s="32" t="s">
        <v>601</v>
      </c>
      <c r="C256" s="120">
        <f t="shared" si="90"/>
        <v>2201.1059999999998</v>
      </c>
      <c r="D256" s="114">
        <f aca="true" t="shared" si="92" ref="D256:J256">SUM(D260+D262)</f>
        <v>1155.675</v>
      </c>
      <c r="E256" s="114">
        <f t="shared" si="92"/>
        <v>1045.431</v>
      </c>
      <c r="F256" s="114">
        <f t="shared" si="92"/>
        <v>0</v>
      </c>
      <c r="G256" s="35">
        <f t="shared" si="92"/>
        <v>0</v>
      </c>
      <c r="H256" s="35">
        <f t="shared" si="92"/>
        <v>0</v>
      </c>
      <c r="I256" s="35">
        <f t="shared" si="92"/>
        <v>0</v>
      </c>
      <c r="J256" s="35">
        <f t="shared" si="92"/>
        <v>0</v>
      </c>
      <c r="K256" s="77"/>
    </row>
    <row r="257" spans="1:11" s="8" customFormat="1" ht="15" customHeight="1">
      <c r="A257" s="104"/>
      <c r="B257" s="93" t="s">
        <v>94</v>
      </c>
      <c r="C257" s="114"/>
      <c r="D257" s="95"/>
      <c r="E257" s="95"/>
      <c r="F257" s="95"/>
      <c r="G257" s="34"/>
      <c r="H257" s="34"/>
      <c r="I257" s="34"/>
      <c r="J257" s="34"/>
      <c r="K257" s="77"/>
    </row>
    <row r="258" spans="1:11" s="8" customFormat="1" ht="15" customHeight="1">
      <c r="A258" s="104" t="s">
        <v>204</v>
      </c>
      <c r="B258" s="32" t="s">
        <v>600</v>
      </c>
      <c r="C258" s="120">
        <f t="shared" si="90"/>
        <v>150</v>
      </c>
      <c r="D258" s="95"/>
      <c r="E258" s="95">
        <v>150</v>
      </c>
      <c r="F258" s="95"/>
      <c r="G258" s="34"/>
      <c r="H258" s="34"/>
      <c r="I258" s="34"/>
      <c r="J258" s="34"/>
      <c r="K258" s="77"/>
    </row>
    <row r="259" spans="1:11" s="8" customFormat="1" ht="15" customHeight="1">
      <c r="A259" s="104" t="s">
        <v>205</v>
      </c>
      <c r="B259" s="32" t="s">
        <v>602</v>
      </c>
      <c r="C259" s="120">
        <f t="shared" si="90"/>
        <v>512.82</v>
      </c>
      <c r="D259" s="95"/>
      <c r="E259" s="95">
        <v>512.82</v>
      </c>
      <c r="F259" s="95"/>
      <c r="G259" s="34"/>
      <c r="H259" s="34"/>
      <c r="I259" s="34"/>
      <c r="J259" s="34"/>
      <c r="K259" s="77"/>
    </row>
    <row r="260" spans="1:11" s="8" customFormat="1" ht="15" customHeight="1">
      <c r="A260" s="104" t="s">
        <v>206</v>
      </c>
      <c r="B260" s="32" t="s">
        <v>601</v>
      </c>
      <c r="C260" s="120">
        <f t="shared" si="90"/>
        <v>1701.106</v>
      </c>
      <c r="D260" s="95">
        <v>1155.675</v>
      </c>
      <c r="E260" s="95">
        <v>545.431</v>
      </c>
      <c r="F260" s="95"/>
      <c r="G260" s="34"/>
      <c r="H260" s="34"/>
      <c r="I260" s="34"/>
      <c r="J260" s="34"/>
      <c r="K260" s="77"/>
    </row>
    <row r="261" spans="1:11" s="8" customFormat="1" ht="15" customHeight="1">
      <c r="A261" s="104"/>
      <c r="B261" s="93" t="s">
        <v>95</v>
      </c>
      <c r="C261" s="114"/>
      <c r="D261" s="95"/>
      <c r="E261" s="95"/>
      <c r="F261" s="95"/>
      <c r="G261" s="34"/>
      <c r="H261" s="34"/>
      <c r="I261" s="34"/>
      <c r="J261" s="34"/>
      <c r="K261" s="77"/>
    </row>
    <row r="262" spans="1:11" s="8" customFormat="1" ht="15" customHeight="1">
      <c r="A262" s="104" t="s">
        <v>207</v>
      </c>
      <c r="B262" s="32" t="s">
        <v>601</v>
      </c>
      <c r="C262" s="120">
        <f t="shared" si="90"/>
        <v>500</v>
      </c>
      <c r="D262" s="95"/>
      <c r="E262" s="95">
        <v>500</v>
      </c>
      <c r="F262" s="95"/>
      <c r="G262" s="34"/>
      <c r="H262" s="34"/>
      <c r="I262" s="34"/>
      <c r="J262" s="34"/>
      <c r="K262" s="77"/>
    </row>
    <row r="263" spans="1:11" s="8" customFormat="1" ht="15" customHeight="1">
      <c r="A263" s="104"/>
      <c r="B263" s="32"/>
      <c r="C263" s="120"/>
      <c r="D263" s="95"/>
      <c r="E263" s="95"/>
      <c r="F263" s="95"/>
      <c r="G263" s="34"/>
      <c r="H263" s="34"/>
      <c r="I263" s="34"/>
      <c r="J263" s="34"/>
      <c r="K263" s="77"/>
    </row>
    <row r="264" spans="1:11" s="8" customFormat="1" ht="82.5" customHeight="1">
      <c r="A264" s="103" t="s">
        <v>208</v>
      </c>
      <c r="B264" s="46" t="s">
        <v>393</v>
      </c>
      <c r="C264" s="114">
        <f>SUM(D264:J264)</f>
        <v>686.99</v>
      </c>
      <c r="D264" s="114">
        <f>SUM(D265:D266)</f>
        <v>0</v>
      </c>
      <c r="E264" s="114">
        <f aca="true" t="shared" si="93" ref="E264:J264">SUM(E265:E266)</f>
        <v>0</v>
      </c>
      <c r="F264" s="114">
        <f t="shared" si="93"/>
        <v>686.99</v>
      </c>
      <c r="G264" s="35">
        <f t="shared" si="93"/>
        <v>0</v>
      </c>
      <c r="H264" s="35">
        <f t="shared" si="93"/>
        <v>0</v>
      </c>
      <c r="I264" s="35">
        <f t="shared" si="93"/>
        <v>0</v>
      </c>
      <c r="J264" s="35">
        <f t="shared" si="93"/>
        <v>0</v>
      </c>
      <c r="K264" s="77" t="s">
        <v>410</v>
      </c>
    </row>
    <row r="265" spans="1:11" s="8" customFormat="1" ht="15" customHeight="1">
      <c r="A265" s="103" t="s">
        <v>209</v>
      </c>
      <c r="B265" s="32" t="s">
        <v>600</v>
      </c>
      <c r="C265" s="120">
        <f>SUM(D265:J265)</f>
        <v>686.99</v>
      </c>
      <c r="D265" s="124"/>
      <c r="E265" s="124"/>
      <c r="F265" s="124">
        <f>186.99+500</f>
        <v>686.99</v>
      </c>
      <c r="G265" s="91"/>
      <c r="H265" s="91"/>
      <c r="I265" s="91"/>
      <c r="J265" s="91"/>
      <c r="K265" s="77"/>
    </row>
    <row r="266" spans="1:11" s="8" customFormat="1" ht="15" customHeight="1">
      <c r="A266" s="103" t="s">
        <v>210</v>
      </c>
      <c r="B266" s="32" t="s">
        <v>602</v>
      </c>
      <c r="C266" s="120">
        <f>SUM(D266:J266)</f>
        <v>0</v>
      </c>
      <c r="D266" s="124"/>
      <c r="E266" s="124"/>
      <c r="F266" s="124"/>
      <c r="G266" s="91"/>
      <c r="H266" s="91"/>
      <c r="I266" s="91"/>
      <c r="J266" s="91"/>
      <c r="K266" s="77"/>
    </row>
    <row r="267" spans="1:11" s="8" customFormat="1" ht="15" customHeight="1">
      <c r="A267" s="103"/>
      <c r="B267" s="32"/>
      <c r="C267" s="120"/>
      <c r="D267" s="124"/>
      <c r="E267" s="124"/>
      <c r="F267" s="124"/>
      <c r="G267" s="91"/>
      <c r="H267" s="91"/>
      <c r="I267" s="91"/>
      <c r="J267" s="91"/>
      <c r="K267" s="77"/>
    </row>
    <row r="268" spans="1:11" s="8" customFormat="1" ht="53.25" customHeight="1">
      <c r="A268" s="103" t="s">
        <v>211</v>
      </c>
      <c r="B268" s="46" t="s">
        <v>394</v>
      </c>
      <c r="C268" s="114">
        <f>SUM(D268:J268)</f>
        <v>21791.553</v>
      </c>
      <c r="D268" s="114">
        <f>SUM(D269:D271)</f>
        <v>0</v>
      </c>
      <c r="E268" s="114">
        <f aca="true" t="shared" si="94" ref="E268:J268">SUM(E269:E271)</f>
        <v>0</v>
      </c>
      <c r="F268" s="114">
        <f>SUM(F269:F271)</f>
        <v>21791.553</v>
      </c>
      <c r="G268" s="114">
        <f t="shared" si="94"/>
        <v>0</v>
      </c>
      <c r="H268" s="114">
        <f t="shared" si="94"/>
        <v>0</v>
      </c>
      <c r="I268" s="114">
        <f t="shared" si="94"/>
        <v>0</v>
      </c>
      <c r="J268" s="114">
        <f t="shared" si="94"/>
        <v>0</v>
      </c>
      <c r="K268" s="77" t="s">
        <v>410</v>
      </c>
    </row>
    <row r="269" spans="1:11" s="8" customFormat="1" ht="31.5" customHeight="1">
      <c r="A269" s="103" t="s">
        <v>212</v>
      </c>
      <c r="B269" s="32" t="s">
        <v>577</v>
      </c>
      <c r="C269" s="120">
        <f>SUM(D269:J269)</f>
        <v>400</v>
      </c>
      <c r="D269" s="124"/>
      <c r="E269" s="124"/>
      <c r="F269" s="124">
        <f>400</f>
        <v>400</v>
      </c>
      <c r="G269" s="91"/>
      <c r="H269" s="91"/>
      <c r="I269" s="91"/>
      <c r="J269" s="91"/>
      <c r="K269" s="77"/>
    </row>
    <row r="270" spans="1:11" s="8" customFormat="1" ht="15" customHeight="1">
      <c r="A270" s="103" t="s">
        <v>213</v>
      </c>
      <c r="B270" s="32" t="s">
        <v>600</v>
      </c>
      <c r="C270" s="120">
        <f>SUM(D270:J270)</f>
        <v>7572.653</v>
      </c>
      <c r="D270" s="124"/>
      <c r="E270" s="124"/>
      <c r="F270" s="124">
        <f>7572.653</f>
        <v>7572.653</v>
      </c>
      <c r="G270" s="91"/>
      <c r="H270" s="91"/>
      <c r="I270" s="91"/>
      <c r="J270" s="91"/>
      <c r="K270" s="77"/>
    </row>
    <row r="271" spans="1:11" s="8" customFormat="1" ht="15" customHeight="1">
      <c r="A271" s="103" t="s">
        <v>214</v>
      </c>
      <c r="B271" s="32" t="s">
        <v>602</v>
      </c>
      <c r="C271" s="120">
        <f>SUM(D271:J271)</f>
        <v>13818.9</v>
      </c>
      <c r="D271" s="124"/>
      <c r="E271" s="124"/>
      <c r="F271" s="124">
        <f>13818.9</f>
        <v>13818.9</v>
      </c>
      <c r="G271" s="91"/>
      <c r="H271" s="91"/>
      <c r="I271" s="91"/>
      <c r="J271" s="91"/>
      <c r="K271" s="77"/>
    </row>
    <row r="272" spans="1:11" s="8" customFormat="1" ht="15" customHeight="1">
      <c r="A272" s="103"/>
      <c r="B272" s="32" t="s">
        <v>6</v>
      </c>
      <c r="C272" s="120"/>
      <c r="D272" s="124"/>
      <c r="E272" s="124"/>
      <c r="F272" s="124"/>
      <c r="G272" s="91"/>
      <c r="H272" s="91"/>
      <c r="I272" s="91"/>
      <c r="J272" s="91"/>
      <c r="K272" s="77"/>
    </row>
    <row r="273" spans="1:11" s="8" customFormat="1" ht="15" customHeight="1">
      <c r="A273" s="103" t="s">
        <v>215</v>
      </c>
      <c r="B273" s="32" t="s">
        <v>15</v>
      </c>
      <c r="C273" s="120">
        <f>SUM(D273:J273)</f>
        <v>21791.553</v>
      </c>
      <c r="D273" s="124"/>
      <c r="E273" s="124"/>
      <c r="F273" s="124">
        <f>SUM(F269:F271)</f>
        <v>21791.553</v>
      </c>
      <c r="G273" s="91"/>
      <c r="H273" s="91"/>
      <c r="I273" s="91"/>
      <c r="J273" s="91"/>
      <c r="K273" s="77"/>
    </row>
    <row r="274" spans="1:11" s="8" customFormat="1" ht="15" customHeight="1">
      <c r="A274" s="103"/>
      <c r="B274" s="32"/>
      <c r="C274" s="120"/>
      <c r="D274" s="124"/>
      <c r="E274" s="124"/>
      <c r="F274" s="124"/>
      <c r="G274" s="91"/>
      <c r="H274" s="91"/>
      <c r="I274" s="91"/>
      <c r="J274" s="91"/>
      <c r="K274" s="77"/>
    </row>
    <row r="275" spans="1:11" s="8" customFormat="1" ht="83.25" customHeight="1">
      <c r="A275" s="103" t="s">
        <v>216</v>
      </c>
      <c r="B275" s="46" t="s">
        <v>403</v>
      </c>
      <c r="C275" s="114">
        <f>SUM(D275:J275)</f>
        <v>4400</v>
      </c>
      <c r="D275" s="114">
        <f>SUM(D276:D277)</f>
        <v>0</v>
      </c>
      <c r="E275" s="114">
        <f aca="true" t="shared" si="95" ref="E275:J275">SUM(E276:E277)</f>
        <v>0</v>
      </c>
      <c r="F275" s="114">
        <f t="shared" si="95"/>
        <v>3300</v>
      </c>
      <c r="G275" s="35">
        <f t="shared" si="95"/>
        <v>1100</v>
      </c>
      <c r="H275" s="35">
        <f t="shared" si="95"/>
        <v>0</v>
      </c>
      <c r="I275" s="35">
        <f t="shared" si="95"/>
        <v>0</v>
      </c>
      <c r="J275" s="35">
        <f t="shared" si="95"/>
        <v>0</v>
      </c>
      <c r="K275" s="77" t="s">
        <v>411</v>
      </c>
    </row>
    <row r="276" spans="1:11" s="8" customFormat="1" ht="15" customHeight="1">
      <c r="A276" s="103" t="s">
        <v>217</v>
      </c>
      <c r="B276" s="32" t="s">
        <v>600</v>
      </c>
      <c r="C276" s="120">
        <f>SUM(D276:J276)</f>
        <v>2900</v>
      </c>
      <c r="D276" s="124"/>
      <c r="E276" s="124"/>
      <c r="F276" s="124">
        <f>1800</f>
        <v>1800</v>
      </c>
      <c r="G276" s="91">
        <v>1100</v>
      </c>
      <c r="H276" s="91"/>
      <c r="I276" s="91"/>
      <c r="J276" s="91"/>
      <c r="K276" s="77"/>
    </row>
    <row r="277" spans="1:11" s="8" customFormat="1" ht="15" customHeight="1">
      <c r="A277" s="103" t="s">
        <v>218</v>
      </c>
      <c r="B277" s="32" t="s">
        <v>602</v>
      </c>
      <c r="C277" s="120">
        <f>SUM(D277:J277)</f>
        <v>1500</v>
      </c>
      <c r="D277" s="124"/>
      <c r="E277" s="124"/>
      <c r="F277" s="124">
        <f>1500</f>
        <v>1500</v>
      </c>
      <c r="G277" s="91"/>
      <c r="H277" s="91"/>
      <c r="I277" s="91"/>
      <c r="J277" s="91"/>
      <c r="K277" s="77"/>
    </row>
    <row r="278" spans="1:11" s="8" customFormat="1" ht="15" customHeight="1">
      <c r="A278" s="103"/>
      <c r="B278" s="32" t="s">
        <v>6</v>
      </c>
      <c r="C278" s="120"/>
      <c r="D278" s="124"/>
      <c r="E278" s="124"/>
      <c r="F278" s="124"/>
      <c r="G278" s="91"/>
      <c r="H278" s="91"/>
      <c r="I278" s="91"/>
      <c r="J278" s="91"/>
      <c r="K278" s="77"/>
    </row>
    <row r="279" spans="1:11" s="8" customFormat="1" ht="15" customHeight="1">
      <c r="A279" s="103" t="s">
        <v>219</v>
      </c>
      <c r="B279" s="32" t="s">
        <v>57</v>
      </c>
      <c r="C279" s="120">
        <f>SUM(D279:J279)</f>
        <v>3300</v>
      </c>
      <c r="D279" s="124"/>
      <c r="E279" s="124"/>
      <c r="F279" s="124">
        <f>SUM(F276:F277)</f>
        <v>3300</v>
      </c>
      <c r="G279" s="124"/>
      <c r="H279" s="91"/>
      <c r="I279" s="91"/>
      <c r="J279" s="91"/>
      <c r="K279" s="77"/>
    </row>
    <row r="280" spans="1:11" s="8" customFormat="1" ht="15" customHeight="1">
      <c r="A280" s="103" t="s">
        <v>220</v>
      </c>
      <c r="B280" s="32" t="s">
        <v>56</v>
      </c>
      <c r="C280" s="120">
        <f>SUM(D280:J280)</f>
        <v>1100</v>
      </c>
      <c r="D280" s="124"/>
      <c r="E280" s="124"/>
      <c r="F280" s="124"/>
      <c r="G280" s="91">
        <f>SUM(G276:G277)</f>
        <v>1100</v>
      </c>
      <c r="H280" s="91"/>
      <c r="I280" s="91"/>
      <c r="J280" s="91"/>
      <c r="K280" s="77"/>
    </row>
    <row r="281" spans="1:11" s="8" customFormat="1" ht="15" customHeight="1">
      <c r="A281" s="103"/>
      <c r="B281" s="32"/>
      <c r="C281" s="120"/>
      <c r="D281" s="124"/>
      <c r="E281" s="124"/>
      <c r="F281" s="124"/>
      <c r="G281" s="91"/>
      <c r="H281" s="91"/>
      <c r="I281" s="91"/>
      <c r="J281" s="91"/>
      <c r="K281" s="77"/>
    </row>
    <row r="282" spans="1:11" s="8" customFormat="1" ht="115.5" customHeight="1">
      <c r="A282" s="103" t="s">
        <v>221</v>
      </c>
      <c r="B282" s="46" t="s">
        <v>447</v>
      </c>
      <c r="C282" s="114">
        <f>SUM(D282:J282)</f>
        <v>3996.2999999999997</v>
      </c>
      <c r="D282" s="114">
        <f>SUM(D283:D285)</f>
        <v>0</v>
      </c>
      <c r="E282" s="114">
        <f aca="true" t="shared" si="96" ref="E282:J282">SUM(E283:E285)</f>
        <v>0</v>
      </c>
      <c r="F282" s="114">
        <f>SUM(F283:F285)</f>
        <v>3996.2999999999997</v>
      </c>
      <c r="G282" s="35">
        <f t="shared" si="96"/>
        <v>0</v>
      </c>
      <c r="H282" s="35">
        <f t="shared" si="96"/>
        <v>0</v>
      </c>
      <c r="I282" s="35">
        <f t="shared" si="96"/>
        <v>0</v>
      </c>
      <c r="J282" s="35">
        <f t="shared" si="96"/>
        <v>0</v>
      </c>
      <c r="K282" s="77" t="s">
        <v>450</v>
      </c>
    </row>
    <row r="283" spans="1:11" s="8" customFormat="1" ht="15" customHeight="1">
      <c r="A283" s="103" t="s">
        <v>222</v>
      </c>
      <c r="B283" s="32" t="s">
        <v>600</v>
      </c>
      <c r="C283" s="120">
        <f>SUM(D283:J283)</f>
        <v>84.6</v>
      </c>
      <c r="D283" s="124"/>
      <c r="E283" s="124"/>
      <c r="F283" s="124">
        <f>84.6</f>
        <v>84.6</v>
      </c>
      <c r="G283" s="91"/>
      <c r="H283" s="91"/>
      <c r="I283" s="91"/>
      <c r="J283" s="91"/>
      <c r="K283" s="77"/>
    </row>
    <row r="284" spans="1:11" s="8" customFormat="1" ht="15" customHeight="1">
      <c r="A284" s="103" t="s">
        <v>223</v>
      </c>
      <c r="B284" s="32" t="s">
        <v>602</v>
      </c>
      <c r="C284" s="120">
        <f>SUM(D284:J284)</f>
        <v>0</v>
      </c>
      <c r="D284" s="124"/>
      <c r="E284" s="124"/>
      <c r="F284" s="124"/>
      <c r="G284" s="91"/>
      <c r="H284" s="91"/>
      <c r="I284" s="91"/>
      <c r="J284" s="91"/>
      <c r="K284" s="77"/>
    </row>
    <row r="285" spans="1:11" s="8" customFormat="1" ht="15" customHeight="1">
      <c r="A285" s="103" t="s">
        <v>224</v>
      </c>
      <c r="B285" s="32" t="s">
        <v>601</v>
      </c>
      <c r="C285" s="120">
        <f>SUM(D285:J285)</f>
        <v>3911.7</v>
      </c>
      <c r="D285" s="124"/>
      <c r="E285" s="124"/>
      <c r="F285" s="124">
        <v>3911.7</v>
      </c>
      <c r="G285" s="91"/>
      <c r="H285" s="91"/>
      <c r="I285" s="91"/>
      <c r="J285" s="91"/>
      <c r="K285" s="77"/>
    </row>
    <row r="286" spans="1:11" s="8" customFormat="1" ht="15" customHeight="1">
      <c r="A286" s="103"/>
      <c r="B286" s="32" t="s">
        <v>6</v>
      </c>
      <c r="C286" s="120"/>
      <c r="D286" s="124"/>
      <c r="E286" s="124"/>
      <c r="F286" s="124"/>
      <c r="G286" s="91"/>
      <c r="H286" s="91"/>
      <c r="I286" s="91"/>
      <c r="J286" s="91"/>
      <c r="K286" s="77"/>
    </row>
    <row r="287" spans="1:11" s="8" customFormat="1" ht="15" customHeight="1">
      <c r="A287" s="103" t="s">
        <v>225</v>
      </c>
      <c r="B287" s="32" t="s">
        <v>56</v>
      </c>
      <c r="C287" s="120">
        <f>SUM(D287:J287)</f>
        <v>3996.2999999999997</v>
      </c>
      <c r="D287" s="124"/>
      <c r="E287" s="124"/>
      <c r="F287" s="124">
        <f>SUM(F283:F285)</f>
        <v>3996.2999999999997</v>
      </c>
      <c r="G287" s="91"/>
      <c r="H287" s="91"/>
      <c r="I287" s="91"/>
      <c r="J287" s="91"/>
      <c r="K287" s="77"/>
    </row>
    <row r="288" spans="1:11" s="8" customFormat="1" ht="15" customHeight="1">
      <c r="A288" s="103"/>
      <c r="B288" s="205"/>
      <c r="C288" s="206"/>
      <c r="D288" s="207"/>
      <c r="E288" s="207"/>
      <c r="F288" s="207"/>
      <c r="G288" s="208"/>
      <c r="H288" s="208"/>
      <c r="I288" s="208"/>
      <c r="J288" s="208"/>
      <c r="K288" s="209"/>
    </row>
    <row r="289" spans="1:11" s="7" customFormat="1" ht="15" customHeight="1">
      <c r="A289" s="172"/>
      <c r="B289" s="230" t="s">
        <v>594</v>
      </c>
      <c r="C289" s="231"/>
      <c r="D289" s="231"/>
      <c r="E289" s="231"/>
      <c r="F289" s="231"/>
      <c r="G289" s="231"/>
      <c r="H289" s="231"/>
      <c r="I289" s="231"/>
      <c r="J289" s="231"/>
      <c r="K289" s="232"/>
    </row>
    <row r="290" spans="1:11" s="8" customFormat="1" ht="15.75">
      <c r="A290" s="103" t="s">
        <v>226</v>
      </c>
      <c r="B290" s="43" t="s">
        <v>25</v>
      </c>
      <c r="C290" s="97">
        <f>SUM(C291:C292)</f>
        <v>94369.284</v>
      </c>
      <c r="D290" s="115">
        <f>SUM(D291:D292)</f>
        <v>3619.284</v>
      </c>
      <c r="E290" s="114">
        <f aca="true" t="shared" si="97" ref="E290:J290">SUM(E291:E292)</f>
        <v>7500</v>
      </c>
      <c r="F290" s="114">
        <f t="shared" si="97"/>
        <v>10000</v>
      </c>
      <c r="G290" s="16">
        <f t="shared" si="97"/>
        <v>15050</v>
      </c>
      <c r="H290" s="35">
        <f t="shared" si="97"/>
        <v>20300</v>
      </c>
      <c r="I290" s="16">
        <f t="shared" si="97"/>
        <v>16450</v>
      </c>
      <c r="J290" s="16">
        <f t="shared" si="97"/>
        <v>21450</v>
      </c>
      <c r="K290" s="79"/>
    </row>
    <row r="291" spans="1:11" s="8" customFormat="1" ht="15" customHeight="1">
      <c r="A291" s="103" t="s">
        <v>227</v>
      </c>
      <c r="B291" s="10" t="s">
        <v>600</v>
      </c>
      <c r="C291" s="97">
        <f>SUM(D291:J291)</f>
        <v>94369.284</v>
      </c>
      <c r="D291" s="116">
        <f aca="true" t="shared" si="98" ref="D291:J291">SUM(D296+D310)</f>
        <v>3619.284</v>
      </c>
      <c r="E291" s="111">
        <f t="shared" si="98"/>
        <v>7500</v>
      </c>
      <c r="F291" s="111">
        <f t="shared" si="98"/>
        <v>10000</v>
      </c>
      <c r="G291" s="15">
        <f t="shared" si="98"/>
        <v>15050</v>
      </c>
      <c r="H291" s="15">
        <f t="shared" si="98"/>
        <v>20300</v>
      </c>
      <c r="I291" s="15">
        <f t="shared" si="98"/>
        <v>16450</v>
      </c>
      <c r="J291" s="15">
        <f t="shared" si="98"/>
        <v>21450</v>
      </c>
      <c r="K291" s="73"/>
    </row>
    <row r="292" spans="1:11" s="8" customFormat="1" ht="15" customHeight="1">
      <c r="A292" s="103" t="s">
        <v>228</v>
      </c>
      <c r="B292" s="10" t="s">
        <v>602</v>
      </c>
      <c r="C292" s="97">
        <f>SUM(D292:J292)</f>
        <v>0</v>
      </c>
      <c r="D292" s="116">
        <f>SUM(D297)</f>
        <v>0</v>
      </c>
      <c r="E292" s="111">
        <f aca="true" t="shared" si="99" ref="E292:J292">SUM(E297)</f>
        <v>0</v>
      </c>
      <c r="F292" s="111">
        <f t="shared" si="99"/>
        <v>0</v>
      </c>
      <c r="G292" s="15">
        <f t="shared" si="99"/>
        <v>0</v>
      </c>
      <c r="H292" s="15">
        <f t="shared" si="99"/>
        <v>0</v>
      </c>
      <c r="I292" s="15">
        <f t="shared" si="99"/>
        <v>0</v>
      </c>
      <c r="J292" s="15">
        <f t="shared" si="99"/>
        <v>0</v>
      </c>
      <c r="K292" s="73"/>
    </row>
    <row r="293" spans="1:11" s="8" customFormat="1" ht="15" customHeight="1">
      <c r="A293" s="104"/>
      <c r="B293" s="5"/>
      <c r="C293" s="163"/>
      <c r="D293" s="156"/>
      <c r="E293" s="156"/>
      <c r="F293" s="157"/>
      <c r="G293" s="6"/>
      <c r="H293" s="6"/>
      <c r="I293" s="6"/>
      <c r="J293" s="6"/>
      <c r="K293" s="73"/>
    </row>
    <row r="294" spans="1:11" s="8" customFormat="1" ht="15" customHeight="1">
      <c r="A294" s="173"/>
      <c r="B294" s="224" t="s">
        <v>604</v>
      </c>
      <c r="C294" s="225"/>
      <c r="D294" s="225"/>
      <c r="E294" s="225"/>
      <c r="F294" s="225"/>
      <c r="G294" s="225"/>
      <c r="H294" s="225"/>
      <c r="I294" s="225"/>
      <c r="J294" s="225"/>
      <c r="K294" s="226"/>
    </row>
    <row r="295" spans="1:11" s="8" customFormat="1" ht="34.5" customHeight="1">
      <c r="A295" s="103" t="s">
        <v>229</v>
      </c>
      <c r="B295" s="43" t="s">
        <v>21</v>
      </c>
      <c r="C295" s="97">
        <f aca="true" t="shared" si="100" ref="C295:J295">SUM(C296:C297)</f>
        <v>93606.732</v>
      </c>
      <c r="D295" s="114">
        <f t="shared" si="100"/>
        <v>3606.732</v>
      </c>
      <c r="E295" s="114">
        <f t="shared" si="100"/>
        <v>7500</v>
      </c>
      <c r="F295" s="114">
        <f t="shared" si="100"/>
        <v>10000</v>
      </c>
      <c r="G295" s="35">
        <f t="shared" si="100"/>
        <v>15000</v>
      </c>
      <c r="H295" s="35">
        <f t="shared" si="100"/>
        <v>20000</v>
      </c>
      <c r="I295" s="35">
        <f t="shared" si="100"/>
        <v>16250</v>
      </c>
      <c r="J295" s="35">
        <f t="shared" si="100"/>
        <v>21250</v>
      </c>
      <c r="K295" s="73"/>
    </row>
    <row r="296" spans="1:11" s="8" customFormat="1" ht="15" customHeight="1">
      <c r="A296" s="99" t="s">
        <v>230</v>
      </c>
      <c r="B296" s="10" t="s">
        <v>600</v>
      </c>
      <c r="C296" s="97">
        <f>SUM(D296:J296)</f>
        <v>93606.732</v>
      </c>
      <c r="D296" s="111">
        <f>SUM(D301)</f>
        <v>3606.732</v>
      </c>
      <c r="E296" s="111">
        <f aca="true" t="shared" si="101" ref="E296:J296">SUM(E301)</f>
        <v>7500</v>
      </c>
      <c r="F296" s="111">
        <f t="shared" si="101"/>
        <v>10000</v>
      </c>
      <c r="G296" s="52">
        <f t="shared" si="101"/>
        <v>15000</v>
      </c>
      <c r="H296" s="52">
        <f t="shared" si="101"/>
        <v>20000</v>
      </c>
      <c r="I296" s="52">
        <f t="shared" si="101"/>
        <v>16250</v>
      </c>
      <c r="J296" s="52">
        <f t="shared" si="101"/>
        <v>21250</v>
      </c>
      <c r="K296" s="73"/>
    </row>
    <row r="297" spans="1:11" s="8" customFormat="1" ht="15" customHeight="1">
      <c r="A297" s="99" t="s">
        <v>231</v>
      </c>
      <c r="B297" s="10" t="s">
        <v>602</v>
      </c>
      <c r="C297" s="97">
        <f>SUM(D297:J297)</f>
        <v>0</v>
      </c>
      <c r="D297" s="116">
        <f>SUM(D302)</f>
        <v>0</v>
      </c>
      <c r="E297" s="111">
        <f aca="true" t="shared" si="102" ref="E297:J297">SUM(E302)</f>
        <v>0</v>
      </c>
      <c r="F297" s="111">
        <f t="shared" si="102"/>
        <v>0</v>
      </c>
      <c r="G297" s="15">
        <f t="shared" si="102"/>
        <v>0</v>
      </c>
      <c r="H297" s="15">
        <f t="shared" si="102"/>
        <v>0</v>
      </c>
      <c r="I297" s="15">
        <f t="shared" si="102"/>
        <v>0</v>
      </c>
      <c r="J297" s="15">
        <f t="shared" si="102"/>
        <v>0</v>
      </c>
      <c r="K297" s="73"/>
    </row>
    <row r="298" spans="1:11" s="8" customFormat="1" ht="15" customHeight="1">
      <c r="A298" s="104"/>
      <c r="B298" s="9"/>
      <c r="C298" s="115"/>
      <c r="D298" s="116"/>
      <c r="E298" s="116"/>
      <c r="F298" s="111"/>
      <c r="G298" s="15"/>
      <c r="H298" s="15"/>
      <c r="I298" s="15"/>
      <c r="J298" s="15"/>
      <c r="K298" s="73"/>
    </row>
    <row r="299" spans="1:11" s="8" customFormat="1" ht="15" customHeight="1">
      <c r="A299" s="174"/>
      <c r="B299" s="233" t="s">
        <v>10</v>
      </c>
      <c r="C299" s="234"/>
      <c r="D299" s="234"/>
      <c r="E299" s="234"/>
      <c r="F299" s="234"/>
      <c r="G299" s="234"/>
      <c r="H299" s="234"/>
      <c r="I299" s="234"/>
      <c r="J299" s="234"/>
      <c r="K299" s="235"/>
    </row>
    <row r="300" spans="1:11" s="41" customFormat="1" ht="31.5">
      <c r="A300" s="99" t="s">
        <v>232</v>
      </c>
      <c r="B300" s="46" t="s">
        <v>291</v>
      </c>
      <c r="C300" s="120">
        <f>SUM(D300:J300)</f>
        <v>93606.732</v>
      </c>
      <c r="D300" s="114">
        <f>SUM(D301:D302)</f>
        <v>3606.732</v>
      </c>
      <c r="E300" s="114">
        <f aca="true" t="shared" si="103" ref="E300:J300">SUM(E301:E302)</f>
        <v>7500</v>
      </c>
      <c r="F300" s="114">
        <f t="shared" si="103"/>
        <v>10000</v>
      </c>
      <c r="G300" s="35">
        <f t="shared" si="103"/>
        <v>15000</v>
      </c>
      <c r="H300" s="35">
        <f t="shared" si="103"/>
        <v>20000</v>
      </c>
      <c r="I300" s="35">
        <f t="shared" si="103"/>
        <v>16250</v>
      </c>
      <c r="J300" s="35">
        <f t="shared" si="103"/>
        <v>21250</v>
      </c>
      <c r="K300" s="76"/>
    </row>
    <row r="301" spans="1:11" s="14" customFormat="1" ht="15" customHeight="1">
      <c r="A301" s="99" t="s">
        <v>233</v>
      </c>
      <c r="B301" s="10" t="s">
        <v>600</v>
      </c>
      <c r="C301" s="97">
        <f>SUM(D301:J301)</f>
        <v>93606.732</v>
      </c>
      <c r="D301" s="111">
        <f>D305</f>
        <v>3606.732</v>
      </c>
      <c r="E301" s="111">
        <f aca="true" t="shared" si="104" ref="E301:J301">E305</f>
        <v>7500</v>
      </c>
      <c r="F301" s="111">
        <f>F305</f>
        <v>10000</v>
      </c>
      <c r="G301" s="52">
        <f t="shared" si="104"/>
        <v>15000</v>
      </c>
      <c r="H301" s="52">
        <f t="shared" si="104"/>
        <v>20000</v>
      </c>
      <c r="I301" s="52">
        <f t="shared" si="104"/>
        <v>16250</v>
      </c>
      <c r="J301" s="52">
        <f t="shared" si="104"/>
        <v>21250</v>
      </c>
      <c r="K301" s="77"/>
    </row>
    <row r="302" spans="1:11" s="8" customFormat="1" ht="15" customHeight="1">
      <c r="A302" s="99" t="s">
        <v>234</v>
      </c>
      <c r="B302" s="10" t="s">
        <v>602</v>
      </c>
      <c r="C302" s="97">
        <f>SUM(D302:J302)</f>
        <v>0</v>
      </c>
      <c r="D302" s="116">
        <f>D306</f>
        <v>0</v>
      </c>
      <c r="E302" s="111">
        <f aca="true" t="shared" si="105" ref="E302:J302">E306</f>
        <v>0</v>
      </c>
      <c r="F302" s="111">
        <f t="shared" si="105"/>
        <v>0</v>
      </c>
      <c r="G302" s="15">
        <f t="shared" si="105"/>
        <v>0</v>
      </c>
      <c r="H302" s="15">
        <f t="shared" si="105"/>
        <v>0</v>
      </c>
      <c r="I302" s="15">
        <f t="shared" si="105"/>
        <v>0</v>
      </c>
      <c r="J302" s="15">
        <f t="shared" si="105"/>
        <v>0</v>
      </c>
      <c r="K302" s="73"/>
    </row>
    <row r="303" spans="1:11" s="8" customFormat="1" ht="15" customHeight="1">
      <c r="A303" s="99"/>
      <c r="B303" s="11"/>
      <c r="C303" s="97"/>
      <c r="D303" s="116"/>
      <c r="E303" s="111"/>
      <c r="F303" s="111"/>
      <c r="G303" s="15"/>
      <c r="H303" s="15"/>
      <c r="I303" s="15"/>
      <c r="J303" s="15"/>
      <c r="K303" s="73"/>
    </row>
    <row r="304" spans="1:11" s="8" customFormat="1" ht="63" customHeight="1">
      <c r="A304" s="99" t="s">
        <v>235</v>
      </c>
      <c r="B304" s="43" t="s">
        <v>290</v>
      </c>
      <c r="C304" s="120">
        <f>SUM(D304:J304)</f>
        <v>93606.732</v>
      </c>
      <c r="D304" s="114">
        <f>SUM(D305:D306)</f>
        <v>3606.732</v>
      </c>
      <c r="E304" s="114">
        <f aca="true" t="shared" si="106" ref="E304:J304">SUM(E305:E306)</f>
        <v>7500</v>
      </c>
      <c r="F304" s="114">
        <f t="shared" si="106"/>
        <v>10000</v>
      </c>
      <c r="G304" s="35">
        <f t="shared" si="106"/>
        <v>15000</v>
      </c>
      <c r="H304" s="35">
        <f t="shared" si="106"/>
        <v>20000</v>
      </c>
      <c r="I304" s="35">
        <f t="shared" si="106"/>
        <v>16250</v>
      </c>
      <c r="J304" s="35">
        <f t="shared" si="106"/>
        <v>21250</v>
      </c>
      <c r="K304" s="77" t="s">
        <v>456</v>
      </c>
    </row>
    <row r="305" spans="1:11" s="8" customFormat="1" ht="15" customHeight="1">
      <c r="A305" s="99" t="s">
        <v>346</v>
      </c>
      <c r="B305" s="10" t="s">
        <v>600</v>
      </c>
      <c r="C305" s="97">
        <f>SUM(D305:J305)</f>
        <v>93606.732</v>
      </c>
      <c r="D305" s="111">
        <v>3606.732</v>
      </c>
      <c r="E305" s="111">
        <f>15000-3000-5000+500</f>
        <v>7500</v>
      </c>
      <c r="F305" s="111">
        <f>15000-5000</f>
        <v>10000</v>
      </c>
      <c r="G305" s="52">
        <v>15000</v>
      </c>
      <c r="H305" s="52">
        <v>20000</v>
      </c>
      <c r="I305" s="52">
        <v>16250</v>
      </c>
      <c r="J305" s="52">
        <f>16250+5000</f>
        <v>21250</v>
      </c>
      <c r="K305" s="73"/>
    </row>
    <row r="306" spans="1:11" s="8" customFormat="1" ht="15" customHeight="1">
      <c r="A306" s="99" t="s">
        <v>236</v>
      </c>
      <c r="B306" s="10" t="s">
        <v>602</v>
      </c>
      <c r="C306" s="97">
        <f>SUM(D306:J306)</f>
        <v>0</v>
      </c>
      <c r="D306" s="116"/>
      <c r="E306" s="111"/>
      <c r="F306" s="111"/>
      <c r="G306" s="15"/>
      <c r="H306" s="15"/>
      <c r="I306" s="15"/>
      <c r="J306" s="15"/>
      <c r="K306" s="73"/>
    </row>
    <row r="307" spans="1:11" s="8" customFormat="1" ht="15" customHeight="1">
      <c r="A307" s="104"/>
      <c r="B307" s="9"/>
      <c r="C307" s="115"/>
      <c r="D307" s="116"/>
      <c r="E307" s="111"/>
      <c r="F307" s="111"/>
      <c r="G307" s="15"/>
      <c r="H307" s="15"/>
      <c r="I307" s="15"/>
      <c r="J307" s="15"/>
      <c r="K307" s="73"/>
    </row>
    <row r="308" spans="1:11" s="8" customFormat="1" ht="15" customHeight="1">
      <c r="A308" s="173"/>
      <c r="B308" s="224" t="s">
        <v>2</v>
      </c>
      <c r="C308" s="225"/>
      <c r="D308" s="225"/>
      <c r="E308" s="225"/>
      <c r="F308" s="225"/>
      <c r="G308" s="225"/>
      <c r="H308" s="225"/>
      <c r="I308" s="225"/>
      <c r="J308" s="225"/>
      <c r="K308" s="226"/>
    </row>
    <row r="309" spans="1:11" s="8" customFormat="1" ht="31.5">
      <c r="A309" s="103" t="s">
        <v>237</v>
      </c>
      <c r="B309" s="43" t="s">
        <v>3</v>
      </c>
      <c r="C309" s="97">
        <f>SUM(C310)</f>
        <v>762.552</v>
      </c>
      <c r="D309" s="115">
        <f>SUM(D310:D310)</f>
        <v>12.552</v>
      </c>
      <c r="E309" s="114">
        <f aca="true" t="shared" si="107" ref="E309:J309">SUM(E310:E310)</f>
        <v>0</v>
      </c>
      <c r="F309" s="114">
        <f t="shared" si="107"/>
        <v>0</v>
      </c>
      <c r="G309" s="16">
        <f t="shared" si="107"/>
        <v>50</v>
      </c>
      <c r="H309" s="16">
        <f t="shared" si="107"/>
        <v>300</v>
      </c>
      <c r="I309" s="16">
        <f t="shared" si="107"/>
        <v>200</v>
      </c>
      <c r="J309" s="16">
        <f t="shared" si="107"/>
        <v>200</v>
      </c>
      <c r="K309" s="73"/>
    </row>
    <row r="310" spans="1:11" s="8" customFormat="1" ht="15" customHeight="1">
      <c r="A310" s="103" t="s">
        <v>238</v>
      </c>
      <c r="B310" s="10" t="s">
        <v>600</v>
      </c>
      <c r="C310" s="97">
        <f>SUM(D310:J310)</f>
        <v>762.552</v>
      </c>
      <c r="D310" s="117">
        <f>SUM(D313+D316)</f>
        <v>12.552</v>
      </c>
      <c r="E310" s="95">
        <f aca="true" t="shared" si="108" ref="E310:J310">SUM(E313+E316)</f>
        <v>0</v>
      </c>
      <c r="F310" s="95">
        <f t="shared" si="108"/>
        <v>0</v>
      </c>
      <c r="G310" s="22">
        <f t="shared" si="108"/>
        <v>50</v>
      </c>
      <c r="H310" s="22">
        <f t="shared" si="108"/>
        <v>300</v>
      </c>
      <c r="I310" s="22">
        <f t="shared" si="108"/>
        <v>200</v>
      </c>
      <c r="J310" s="22">
        <f t="shared" si="108"/>
        <v>200</v>
      </c>
      <c r="K310" s="73"/>
    </row>
    <row r="311" spans="1:11" s="8" customFormat="1" ht="15" customHeight="1">
      <c r="A311" s="103"/>
      <c r="B311" s="12"/>
      <c r="C311" s="164"/>
      <c r="D311" s="156"/>
      <c r="E311" s="157"/>
      <c r="F311" s="157"/>
      <c r="G311" s="6"/>
      <c r="H311" s="6"/>
      <c r="I311" s="6"/>
      <c r="J311" s="6"/>
      <c r="K311" s="73"/>
    </row>
    <row r="312" spans="1:11" s="8" customFormat="1" ht="52.5" customHeight="1">
      <c r="A312" s="103" t="s">
        <v>239</v>
      </c>
      <c r="B312" s="43" t="s">
        <v>292</v>
      </c>
      <c r="C312" s="97">
        <f>SUM(C313)</f>
        <v>401.552</v>
      </c>
      <c r="D312" s="115">
        <f>SUM(D313:D313)</f>
        <v>1.552</v>
      </c>
      <c r="E312" s="114">
        <f aca="true" t="shared" si="109" ref="E312:J312">SUM(E313:E313)</f>
        <v>0</v>
      </c>
      <c r="F312" s="114">
        <f t="shared" si="109"/>
        <v>0</v>
      </c>
      <c r="G312" s="16">
        <f t="shared" si="109"/>
        <v>50</v>
      </c>
      <c r="H312" s="16">
        <f t="shared" si="109"/>
        <v>150</v>
      </c>
      <c r="I312" s="16">
        <f t="shared" si="109"/>
        <v>100</v>
      </c>
      <c r="J312" s="16">
        <f t="shared" si="109"/>
        <v>100</v>
      </c>
      <c r="K312" s="77" t="s">
        <v>457</v>
      </c>
    </row>
    <row r="313" spans="1:11" s="8" customFormat="1" ht="15" customHeight="1">
      <c r="A313" s="103" t="s">
        <v>240</v>
      </c>
      <c r="B313" s="10" t="s">
        <v>600</v>
      </c>
      <c r="C313" s="97">
        <f>SUM(D313:J313)</f>
        <v>401.552</v>
      </c>
      <c r="D313" s="95">
        <v>1.552</v>
      </c>
      <c r="E313" s="95">
        <v>0</v>
      </c>
      <c r="F313" s="95">
        <v>0</v>
      </c>
      <c r="G313" s="22">
        <v>50</v>
      </c>
      <c r="H313" s="22">
        <v>150</v>
      </c>
      <c r="I313" s="22">
        <v>100</v>
      </c>
      <c r="J313" s="22">
        <v>100</v>
      </c>
      <c r="K313" s="77"/>
    </row>
    <row r="314" spans="1:11" s="8" customFormat="1" ht="15" customHeight="1">
      <c r="A314" s="103"/>
      <c r="B314" s="10"/>
      <c r="C314" s="97"/>
      <c r="D314" s="95"/>
      <c r="E314" s="95"/>
      <c r="F314" s="95"/>
      <c r="G314" s="22"/>
      <c r="H314" s="22"/>
      <c r="I314" s="22"/>
      <c r="J314" s="22"/>
      <c r="K314" s="77"/>
    </row>
    <row r="315" spans="1:11" s="8" customFormat="1" ht="51" customHeight="1">
      <c r="A315" s="103" t="s">
        <v>241</v>
      </c>
      <c r="B315" s="43" t="s">
        <v>293</v>
      </c>
      <c r="C315" s="97">
        <f>SUM(C316)</f>
        <v>361</v>
      </c>
      <c r="D315" s="114">
        <f>SUM(D316:D316)</f>
        <v>11</v>
      </c>
      <c r="E315" s="114">
        <f aca="true" t="shared" si="110" ref="E315:J315">SUM(E316:E316)</f>
        <v>0</v>
      </c>
      <c r="F315" s="114">
        <f t="shared" si="110"/>
        <v>0</v>
      </c>
      <c r="G315" s="16">
        <f t="shared" si="110"/>
        <v>0</v>
      </c>
      <c r="H315" s="16">
        <f t="shared" si="110"/>
        <v>150</v>
      </c>
      <c r="I315" s="16">
        <f t="shared" si="110"/>
        <v>100</v>
      </c>
      <c r="J315" s="16">
        <f t="shared" si="110"/>
        <v>100</v>
      </c>
      <c r="K315" s="77" t="s">
        <v>458</v>
      </c>
    </row>
    <row r="316" spans="1:11" s="8" customFormat="1" ht="15" customHeight="1">
      <c r="A316" s="103" t="s">
        <v>242</v>
      </c>
      <c r="B316" s="10" t="s">
        <v>600</v>
      </c>
      <c r="C316" s="97">
        <f>SUM(D316:J316)</f>
        <v>361</v>
      </c>
      <c r="D316" s="95">
        <f>150-139</f>
        <v>11</v>
      </c>
      <c r="E316" s="95">
        <v>0</v>
      </c>
      <c r="F316" s="95">
        <v>0</v>
      </c>
      <c r="G316" s="22">
        <v>0</v>
      </c>
      <c r="H316" s="22">
        <v>150</v>
      </c>
      <c r="I316" s="22">
        <v>100</v>
      </c>
      <c r="J316" s="22">
        <v>100</v>
      </c>
      <c r="K316" s="73"/>
    </row>
    <row r="317" spans="1:11" s="8" customFormat="1" ht="15" customHeight="1">
      <c r="A317" s="104"/>
      <c r="B317" s="9"/>
      <c r="C317" s="115"/>
      <c r="D317" s="117"/>
      <c r="E317" s="95"/>
      <c r="F317" s="95"/>
      <c r="G317" s="22"/>
      <c r="H317" s="22"/>
      <c r="I317" s="22"/>
      <c r="J317" s="22"/>
      <c r="K317" s="73"/>
    </row>
    <row r="318" spans="1:11" s="7" customFormat="1" ht="15" customHeight="1">
      <c r="A318" s="172"/>
      <c r="B318" s="230" t="s">
        <v>595</v>
      </c>
      <c r="C318" s="231"/>
      <c r="D318" s="231"/>
      <c r="E318" s="231"/>
      <c r="F318" s="231"/>
      <c r="G318" s="231"/>
      <c r="H318" s="231"/>
      <c r="I318" s="231"/>
      <c r="J318" s="231"/>
      <c r="K318" s="232"/>
    </row>
    <row r="319" spans="1:11" s="8" customFormat="1" ht="15.75">
      <c r="A319" s="103" t="s">
        <v>243</v>
      </c>
      <c r="B319" s="43" t="s">
        <v>26</v>
      </c>
      <c r="C319" s="97">
        <f>SUM(C320:C323)</f>
        <v>158099.94700000001</v>
      </c>
      <c r="D319" s="115">
        <f>SUM(D320:D323)</f>
        <v>21288.949999999997</v>
      </c>
      <c r="E319" s="114">
        <f aca="true" t="shared" si="111" ref="E319:J319">SUM(E320:E323)</f>
        <v>29337.197</v>
      </c>
      <c r="F319" s="114">
        <f t="shared" si="111"/>
        <v>23899.6</v>
      </c>
      <c r="G319" s="16">
        <f t="shared" si="111"/>
        <v>21413.3</v>
      </c>
      <c r="H319" s="16">
        <f t="shared" si="111"/>
        <v>20720.3</v>
      </c>
      <c r="I319" s="16">
        <f t="shared" si="111"/>
        <v>20720.3</v>
      </c>
      <c r="J319" s="16">
        <f t="shared" si="111"/>
        <v>20720.3</v>
      </c>
      <c r="K319" s="73"/>
    </row>
    <row r="320" spans="1:11" s="8" customFormat="1" ht="15" customHeight="1">
      <c r="A320" s="103" t="s">
        <v>244</v>
      </c>
      <c r="B320" s="10" t="s">
        <v>600</v>
      </c>
      <c r="C320" s="97">
        <f>SUM(D320:J320)</f>
        <v>73597.61600000001</v>
      </c>
      <c r="D320" s="117">
        <f aca="true" t="shared" si="112" ref="D320:J320">SUM(D326+D332)</f>
        <v>9510.15</v>
      </c>
      <c r="E320" s="95">
        <f t="shared" si="112"/>
        <v>12406.866</v>
      </c>
      <c r="F320" s="95">
        <f t="shared" si="112"/>
        <v>11267.6</v>
      </c>
      <c r="G320" s="22">
        <f t="shared" si="112"/>
        <v>10623</v>
      </c>
      <c r="H320" s="22">
        <f t="shared" si="112"/>
        <v>9930</v>
      </c>
      <c r="I320" s="22">
        <f t="shared" si="112"/>
        <v>9930</v>
      </c>
      <c r="J320" s="22">
        <f t="shared" si="112"/>
        <v>9930</v>
      </c>
      <c r="K320" s="73"/>
    </row>
    <row r="321" spans="1:11" s="8" customFormat="1" ht="15" customHeight="1">
      <c r="A321" s="103" t="s">
        <v>245</v>
      </c>
      <c r="B321" s="10" t="s">
        <v>601</v>
      </c>
      <c r="C321" s="97">
        <f>SUM(D321:J321)</f>
        <v>0</v>
      </c>
      <c r="D321" s="117"/>
      <c r="E321" s="95"/>
      <c r="F321" s="95"/>
      <c r="G321" s="22"/>
      <c r="H321" s="22"/>
      <c r="I321" s="22"/>
      <c r="J321" s="22"/>
      <c r="K321" s="73"/>
    </row>
    <row r="322" spans="1:11" s="8" customFormat="1" ht="15" customHeight="1">
      <c r="A322" s="103" t="s">
        <v>246</v>
      </c>
      <c r="B322" s="10" t="s">
        <v>602</v>
      </c>
      <c r="C322" s="97">
        <f>SUM(D322:J322)</f>
        <v>84502.331</v>
      </c>
      <c r="D322" s="117">
        <f>SUM(D334)</f>
        <v>11778.8</v>
      </c>
      <c r="E322" s="95">
        <f aca="true" t="shared" si="113" ref="E322:J322">SUM(E334)</f>
        <v>16930.331</v>
      </c>
      <c r="F322" s="95">
        <f t="shared" si="113"/>
        <v>12632</v>
      </c>
      <c r="G322" s="22">
        <f t="shared" si="113"/>
        <v>10790.3</v>
      </c>
      <c r="H322" s="22">
        <f t="shared" si="113"/>
        <v>10790.3</v>
      </c>
      <c r="I322" s="22">
        <f t="shared" si="113"/>
        <v>10790.3</v>
      </c>
      <c r="J322" s="22">
        <f t="shared" si="113"/>
        <v>10790.3</v>
      </c>
      <c r="K322" s="73"/>
    </row>
    <row r="323" spans="1:11" s="8" customFormat="1" ht="15" customHeight="1">
      <c r="A323" s="103" t="s">
        <v>247</v>
      </c>
      <c r="B323" s="10" t="s">
        <v>603</v>
      </c>
      <c r="C323" s="97">
        <f>SUM(D323:J323)</f>
        <v>0</v>
      </c>
      <c r="D323" s="117"/>
      <c r="E323" s="95"/>
      <c r="F323" s="95"/>
      <c r="G323" s="22"/>
      <c r="H323" s="22"/>
      <c r="I323" s="22"/>
      <c r="J323" s="22"/>
      <c r="K323" s="73"/>
    </row>
    <row r="324" spans="1:11" s="8" customFormat="1" ht="15" customHeight="1">
      <c r="A324" s="175"/>
      <c r="B324" s="236" t="s">
        <v>604</v>
      </c>
      <c r="C324" s="237"/>
      <c r="D324" s="237"/>
      <c r="E324" s="237"/>
      <c r="F324" s="237"/>
      <c r="G324" s="237"/>
      <c r="H324" s="237"/>
      <c r="I324" s="237"/>
      <c r="J324" s="237"/>
      <c r="K324" s="238"/>
    </row>
    <row r="325" spans="1:11" s="8" customFormat="1" ht="35.25" customHeight="1">
      <c r="A325" s="103" t="s">
        <v>248</v>
      </c>
      <c r="B325" s="43" t="s">
        <v>21</v>
      </c>
      <c r="C325" s="97">
        <v>0</v>
      </c>
      <c r="D325" s="115"/>
      <c r="E325" s="115"/>
      <c r="F325" s="114"/>
      <c r="G325" s="16"/>
      <c r="H325" s="16"/>
      <c r="I325" s="16"/>
      <c r="J325" s="16"/>
      <c r="K325" s="73"/>
    </row>
    <row r="326" spans="1:11" s="8" customFormat="1" ht="15" customHeight="1">
      <c r="A326" s="103" t="s">
        <v>249</v>
      </c>
      <c r="B326" s="10" t="s">
        <v>600</v>
      </c>
      <c r="C326" s="97">
        <f>SUM(D326:J326)</f>
        <v>0</v>
      </c>
      <c r="D326" s="117"/>
      <c r="E326" s="117"/>
      <c r="F326" s="95"/>
      <c r="G326" s="22"/>
      <c r="H326" s="22"/>
      <c r="I326" s="22"/>
      <c r="J326" s="22"/>
      <c r="K326" s="73"/>
    </row>
    <row r="327" spans="1:11" s="8" customFormat="1" ht="15" customHeight="1">
      <c r="A327" s="176"/>
      <c r="B327" s="227" t="s">
        <v>605</v>
      </c>
      <c r="C327" s="228"/>
      <c r="D327" s="228"/>
      <c r="E327" s="228"/>
      <c r="F327" s="228"/>
      <c r="G327" s="228"/>
      <c r="H327" s="228"/>
      <c r="I327" s="228"/>
      <c r="J327" s="228"/>
      <c r="K327" s="229"/>
    </row>
    <row r="328" spans="1:11" s="8" customFormat="1" ht="48.75" customHeight="1">
      <c r="A328" s="103" t="s">
        <v>250</v>
      </c>
      <c r="B328" s="43" t="s">
        <v>279</v>
      </c>
      <c r="C328" s="97">
        <v>0</v>
      </c>
      <c r="D328" s="115"/>
      <c r="E328" s="115"/>
      <c r="F328" s="114"/>
      <c r="G328" s="16"/>
      <c r="H328" s="16"/>
      <c r="I328" s="16"/>
      <c r="J328" s="16"/>
      <c r="K328" s="73"/>
    </row>
    <row r="329" spans="1:11" s="8" customFormat="1" ht="15" customHeight="1">
      <c r="A329" s="103" t="s">
        <v>304</v>
      </c>
      <c r="B329" s="10" t="s">
        <v>600</v>
      </c>
      <c r="C329" s="97">
        <f>SUM(D329:J329)</f>
        <v>0</v>
      </c>
      <c r="D329" s="117"/>
      <c r="E329" s="117"/>
      <c r="F329" s="95"/>
      <c r="G329" s="22"/>
      <c r="H329" s="22"/>
      <c r="I329" s="22"/>
      <c r="J329" s="22"/>
      <c r="K329" s="73"/>
    </row>
    <row r="330" spans="1:11" s="8" customFormat="1" ht="15" customHeight="1">
      <c r="A330" s="173"/>
      <c r="B330" s="224" t="s">
        <v>2</v>
      </c>
      <c r="C330" s="225"/>
      <c r="D330" s="225"/>
      <c r="E330" s="225"/>
      <c r="F330" s="225"/>
      <c r="G330" s="225"/>
      <c r="H330" s="225"/>
      <c r="I330" s="225"/>
      <c r="J330" s="225"/>
      <c r="K330" s="226"/>
    </row>
    <row r="331" spans="1:11" s="8" customFormat="1" ht="31.5">
      <c r="A331" s="103" t="s">
        <v>305</v>
      </c>
      <c r="B331" s="43" t="s">
        <v>3</v>
      </c>
      <c r="C331" s="97">
        <f>SUM(C332:C334)</f>
        <v>158099.94700000001</v>
      </c>
      <c r="D331" s="115">
        <f aca="true" t="shared" si="114" ref="D331:J331">SUM(D332:D334)</f>
        <v>21288.949999999997</v>
      </c>
      <c r="E331" s="114">
        <f t="shared" si="114"/>
        <v>29337.197</v>
      </c>
      <c r="F331" s="114">
        <f t="shared" si="114"/>
        <v>23899.6</v>
      </c>
      <c r="G331" s="16">
        <f t="shared" si="114"/>
        <v>21413.3</v>
      </c>
      <c r="H331" s="16">
        <f t="shared" si="114"/>
        <v>20720.3</v>
      </c>
      <c r="I331" s="16">
        <f t="shared" si="114"/>
        <v>20720.3</v>
      </c>
      <c r="J331" s="16">
        <f t="shared" si="114"/>
        <v>20720.3</v>
      </c>
      <c r="K331" s="73"/>
    </row>
    <row r="332" spans="1:11" s="8" customFormat="1" ht="15" customHeight="1">
      <c r="A332" s="103" t="s">
        <v>294</v>
      </c>
      <c r="B332" s="10" t="s">
        <v>600</v>
      </c>
      <c r="C332" s="97">
        <f>SUM(D332:J332)</f>
        <v>73597.61600000001</v>
      </c>
      <c r="D332" s="117">
        <f aca="true" t="shared" si="115" ref="D332:J332">SUM(D337+D341+D344+D348)</f>
        <v>9510.15</v>
      </c>
      <c r="E332" s="95">
        <f>SUM(E337+E341+E344+E348)</f>
        <v>12406.866</v>
      </c>
      <c r="F332" s="95">
        <f t="shared" si="115"/>
        <v>11267.6</v>
      </c>
      <c r="G332" s="22">
        <f t="shared" si="115"/>
        <v>10623</v>
      </c>
      <c r="H332" s="22">
        <f t="shared" si="115"/>
        <v>9930</v>
      </c>
      <c r="I332" s="22">
        <f t="shared" si="115"/>
        <v>9930</v>
      </c>
      <c r="J332" s="22">
        <f t="shared" si="115"/>
        <v>9930</v>
      </c>
      <c r="K332" s="73"/>
    </row>
    <row r="333" spans="1:11" s="8" customFormat="1" ht="15" customHeight="1">
      <c r="A333" s="103" t="s">
        <v>295</v>
      </c>
      <c r="B333" s="10" t="s">
        <v>601</v>
      </c>
      <c r="C333" s="97">
        <f>SUM(D333:J333)</f>
        <v>0</v>
      </c>
      <c r="D333" s="117"/>
      <c r="E333" s="95"/>
      <c r="F333" s="95"/>
      <c r="G333" s="22"/>
      <c r="H333" s="22"/>
      <c r="I333" s="22"/>
      <c r="J333" s="22"/>
      <c r="K333" s="73"/>
    </row>
    <row r="334" spans="1:11" s="8" customFormat="1" ht="15" customHeight="1">
      <c r="A334" s="103" t="s">
        <v>296</v>
      </c>
      <c r="B334" s="10" t="s">
        <v>602</v>
      </c>
      <c r="C334" s="97">
        <f>SUM(D334:J334)</f>
        <v>84502.331</v>
      </c>
      <c r="D334" s="95">
        <f aca="true" t="shared" si="116" ref="D334:J334">SUM(D345+D338+D349)</f>
        <v>11778.8</v>
      </c>
      <c r="E334" s="95">
        <f t="shared" si="116"/>
        <v>16930.331</v>
      </c>
      <c r="F334" s="95">
        <f t="shared" si="116"/>
        <v>12632</v>
      </c>
      <c r="G334" s="95">
        <f t="shared" si="116"/>
        <v>10790.3</v>
      </c>
      <c r="H334" s="95">
        <f t="shared" si="116"/>
        <v>10790.3</v>
      </c>
      <c r="I334" s="95">
        <f t="shared" si="116"/>
        <v>10790.3</v>
      </c>
      <c r="J334" s="95">
        <f t="shared" si="116"/>
        <v>10790.3</v>
      </c>
      <c r="K334" s="73"/>
    </row>
    <row r="335" spans="1:11" s="8" customFormat="1" ht="15" customHeight="1">
      <c r="A335" s="103"/>
      <c r="B335" s="10"/>
      <c r="C335" s="97"/>
      <c r="D335" s="117"/>
      <c r="E335" s="95"/>
      <c r="F335" s="95"/>
      <c r="G335" s="22"/>
      <c r="H335" s="22"/>
      <c r="I335" s="22"/>
      <c r="J335" s="22"/>
      <c r="K335" s="73"/>
    </row>
    <row r="336" spans="1:11" s="8" customFormat="1" ht="83.25" customHeight="1">
      <c r="A336" s="103" t="s">
        <v>297</v>
      </c>
      <c r="B336" s="43" t="s">
        <v>22</v>
      </c>
      <c r="C336" s="97">
        <f>SUM(C337:C338)</f>
        <v>24558.100000000002</v>
      </c>
      <c r="D336" s="115">
        <f>SUM(D337:D338)</f>
        <v>3671.3</v>
      </c>
      <c r="E336" s="115">
        <f aca="true" t="shared" si="117" ref="E336:J336">SUM(E337:E338)</f>
        <v>9203.4</v>
      </c>
      <c r="F336" s="115">
        <f t="shared" si="117"/>
        <v>3683.4</v>
      </c>
      <c r="G336" s="115">
        <f t="shared" si="117"/>
        <v>2000</v>
      </c>
      <c r="H336" s="115">
        <f t="shared" si="117"/>
        <v>2000</v>
      </c>
      <c r="I336" s="115">
        <f t="shared" si="117"/>
        <v>2000</v>
      </c>
      <c r="J336" s="115">
        <f t="shared" si="117"/>
        <v>2000</v>
      </c>
      <c r="K336" s="77" t="s">
        <v>459</v>
      </c>
    </row>
    <row r="337" spans="1:11" s="8" customFormat="1" ht="15" customHeight="1">
      <c r="A337" s="103" t="s">
        <v>251</v>
      </c>
      <c r="B337" s="10" t="s">
        <v>600</v>
      </c>
      <c r="C337" s="97">
        <f>SUM(D337:J337)</f>
        <v>16443.4</v>
      </c>
      <c r="D337" s="117">
        <v>2000</v>
      </c>
      <c r="E337" s="95">
        <f>2000+1001.7+1600</f>
        <v>4601.7</v>
      </c>
      <c r="F337" s="95">
        <f>2000-158.3</f>
        <v>1841.7</v>
      </c>
      <c r="G337" s="22">
        <v>2000</v>
      </c>
      <c r="H337" s="22">
        <v>2000</v>
      </c>
      <c r="I337" s="22">
        <v>2000</v>
      </c>
      <c r="J337" s="22">
        <v>2000</v>
      </c>
      <c r="K337" s="77"/>
    </row>
    <row r="338" spans="1:11" s="8" customFormat="1" ht="15" customHeight="1">
      <c r="A338" s="104" t="s">
        <v>252</v>
      </c>
      <c r="B338" s="11" t="s">
        <v>602</v>
      </c>
      <c r="C338" s="97">
        <f>SUM(D338:J338)</f>
        <v>8114.7</v>
      </c>
      <c r="D338" s="117">
        <f>1671.4-0.1</f>
        <v>1671.3000000000002</v>
      </c>
      <c r="E338" s="95">
        <f>4601.7</f>
        <v>4601.7</v>
      </c>
      <c r="F338" s="95">
        <f>1841.7</f>
        <v>1841.7</v>
      </c>
      <c r="G338" s="22"/>
      <c r="H338" s="22"/>
      <c r="I338" s="22"/>
      <c r="J338" s="22"/>
      <c r="K338" s="77"/>
    </row>
    <row r="339" spans="1:11" s="8" customFormat="1" ht="15" customHeight="1">
      <c r="A339" s="103"/>
      <c r="B339" s="11"/>
      <c r="C339" s="97"/>
      <c r="D339" s="117"/>
      <c r="E339" s="95"/>
      <c r="F339" s="95"/>
      <c r="G339" s="22"/>
      <c r="H339" s="22"/>
      <c r="I339" s="22"/>
      <c r="J339" s="22"/>
      <c r="K339" s="77"/>
    </row>
    <row r="340" spans="1:11" s="8" customFormat="1" ht="50.25" customHeight="1">
      <c r="A340" s="103" t="s">
        <v>253</v>
      </c>
      <c r="B340" s="43" t="s">
        <v>27</v>
      </c>
      <c r="C340" s="97">
        <f>SUM(C341)</f>
        <v>13208.3</v>
      </c>
      <c r="D340" s="115">
        <f aca="true" t="shared" si="118" ref="D340:J340">SUM(D341:D341)</f>
        <v>1600</v>
      </c>
      <c r="E340" s="114">
        <f t="shared" si="118"/>
        <v>1450</v>
      </c>
      <c r="F340" s="114">
        <f t="shared" si="118"/>
        <v>2158.3</v>
      </c>
      <c r="G340" s="16">
        <f t="shared" si="118"/>
        <v>2000</v>
      </c>
      <c r="H340" s="16">
        <f t="shared" si="118"/>
        <v>2000</v>
      </c>
      <c r="I340" s="16">
        <f t="shared" si="118"/>
        <v>2000</v>
      </c>
      <c r="J340" s="16">
        <f t="shared" si="118"/>
        <v>2000</v>
      </c>
      <c r="K340" s="77" t="s">
        <v>460</v>
      </c>
    </row>
    <row r="341" spans="1:11" s="8" customFormat="1" ht="15" customHeight="1">
      <c r="A341" s="103" t="s">
        <v>254</v>
      </c>
      <c r="B341" s="10" t="s">
        <v>600</v>
      </c>
      <c r="C341" s="97">
        <f>SUM(D341:J341)</f>
        <v>13208.3</v>
      </c>
      <c r="D341" s="117">
        <f>2000-400</f>
        <v>1600</v>
      </c>
      <c r="E341" s="95">
        <v>1450</v>
      </c>
      <c r="F341" s="95">
        <f>2000+158.3</f>
        <v>2158.3</v>
      </c>
      <c r="G341" s="22">
        <v>2000</v>
      </c>
      <c r="H341" s="22">
        <v>2000</v>
      </c>
      <c r="I341" s="22">
        <v>2000</v>
      </c>
      <c r="J341" s="22">
        <v>2000</v>
      </c>
      <c r="K341" s="73"/>
    </row>
    <row r="342" spans="1:11" s="8" customFormat="1" ht="15" customHeight="1">
      <c r="A342" s="103"/>
      <c r="B342" s="10"/>
      <c r="C342" s="97"/>
      <c r="D342" s="117"/>
      <c r="E342" s="95"/>
      <c r="F342" s="95"/>
      <c r="G342" s="22"/>
      <c r="H342" s="22"/>
      <c r="I342" s="22"/>
      <c r="J342" s="22"/>
      <c r="K342" s="73"/>
    </row>
    <row r="343" spans="1:11" s="8" customFormat="1" ht="50.25" customHeight="1">
      <c r="A343" s="103" t="s">
        <v>255</v>
      </c>
      <c r="B343" s="43" t="s">
        <v>23</v>
      </c>
      <c r="C343" s="120">
        <f>SUM(C344:C345)</f>
        <v>106441.626</v>
      </c>
      <c r="D343" s="114">
        <f>SUM(D344:D345)</f>
        <v>14317.66</v>
      </c>
      <c r="E343" s="114">
        <f aca="true" t="shared" si="119" ref="E343:J343">SUM(E344:E345)</f>
        <v>15015.466</v>
      </c>
      <c r="F343" s="114">
        <f t="shared" si="119"/>
        <v>15947.3</v>
      </c>
      <c r="G343" s="35">
        <f t="shared" si="119"/>
        <v>15290.3</v>
      </c>
      <c r="H343" s="35">
        <f t="shared" si="119"/>
        <v>15290.3</v>
      </c>
      <c r="I343" s="35">
        <f t="shared" si="119"/>
        <v>15290.3</v>
      </c>
      <c r="J343" s="35">
        <f t="shared" si="119"/>
        <v>15290.3</v>
      </c>
      <c r="K343" s="77" t="s">
        <v>461</v>
      </c>
    </row>
    <row r="344" spans="1:11" s="8" customFormat="1" ht="15" customHeight="1">
      <c r="A344" s="103" t="s">
        <v>256</v>
      </c>
      <c r="B344" s="10" t="s">
        <v>600</v>
      </c>
      <c r="C344" s="120">
        <f>SUM(D344:J344)</f>
        <v>31592.326</v>
      </c>
      <c r="D344" s="111">
        <v>4210.16</v>
      </c>
      <c r="E344" s="111">
        <f>4000+225.166</f>
        <v>4225.166</v>
      </c>
      <c r="F344" s="111">
        <f>4500+657</f>
        <v>5157</v>
      </c>
      <c r="G344" s="52">
        <v>4500</v>
      </c>
      <c r="H344" s="52">
        <v>4500</v>
      </c>
      <c r="I344" s="52">
        <v>4500</v>
      </c>
      <c r="J344" s="52">
        <v>4500</v>
      </c>
      <c r="K344" s="77"/>
    </row>
    <row r="345" spans="1:11" s="8" customFormat="1" ht="15" customHeight="1">
      <c r="A345" s="103" t="s">
        <v>257</v>
      </c>
      <c r="B345" s="10" t="s">
        <v>602</v>
      </c>
      <c r="C345" s="120">
        <f>SUM(D345:J345)</f>
        <v>74849.3</v>
      </c>
      <c r="D345" s="111">
        <v>10107.5</v>
      </c>
      <c r="E345" s="111">
        <v>10790.3</v>
      </c>
      <c r="F345" s="111">
        <f>10790.3</f>
        <v>10790.3</v>
      </c>
      <c r="G345" s="52">
        <v>10790.3</v>
      </c>
      <c r="H345" s="52">
        <v>10790.3</v>
      </c>
      <c r="I345" s="52">
        <v>10790.3</v>
      </c>
      <c r="J345" s="52">
        <v>10790.3</v>
      </c>
      <c r="K345" s="77"/>
    </row>
    <row r="346" spans="1:11" s="8" customFormat="1" ht="15" customHeight="1">
      <c r="A346" s="103"/>
      <c r="B346" s="10"/>
      <c r="C346" s="120"/>
      <c r="D346" s="111"/>
      <c r="E346" s="111"/>
      <c r="F346" s="111"/>
      <c r="G346" s="52"/>
      <c r="H346" s="52"/>
      <c r="I346" s="52"/>
      <c r="J346" s="52"/>
      <c r="K346" s="77"/>
    </row>
    <row r="347" spans="1:11" s="8" customFormat="1" ht="65.25" customHeight="1">
      <c r="A347" s="103" t="s">
        <v>258</v>
      </c>
      <c r="B347" s="43" t="s">
        <v>28</v>
      </c>
      <c r="C347" s="120">
        <f>SUM(D347:J347)</f>
        <v>13891.921</v>
      </c>
      <c r="D347" s="114">
        <f>SUM(D348:D349)</f>
        <v>1699.99</v>
      </c>
      <c r="E347" s="114">
        <f aca="true" t="shared" si="120" ref="E347:J347">SUM(E348:E349)</f>
        <v>3668.331</v>
      </c>
      <c r="F347" s="114">
        <f t="shared" si="120"/>
        <v>2110.6</v>
      </c>
      <c r="G347" s="35">
        <f t="shared" si="120"/>
        <v>2123</v>
      </c>
      <c r="H347" s="35">
        <f t="shared" si="120"/>
        <v>1430</v>
      </c>
      <c r="I347" s="35">
        <f t="shared" si="120"/>
        <v>1430</v>
      </c>
      <c r="J347" s="35">
        <f t="shared" si="120"/>
        <v>1430</v>
      </c>
      <c r="K347" s="77" t="s">
        <v>459</v>
      </c>
    </row>
    <row r="348" spans="1:11" s="8" customFormat="1" ht="15" customHeight="1">
      <c r="A348" s="103" t="s">
        <v>259</v>
      </c>
      <c r="B348" s="10" t="s">
        <v>600</v>
      </c>
      <c r="C348" s="97">
        <f>SUM(D348:J348)</f>
        <v>12353.59</v>
      </c>
      <c r="D348" s="95">
        <v>1699.99</v>
      </c>
      <c r="E348" s="95">
        <f>1950+120+60</f>
        <v>2130</v>
      </c>
      <c r="F348" s="95">
        <v>2110.6</v>
      </c>
      <c r="G348" s="22">
        <v>2123</v>
      </c>
      <c r="H348" s="22">
        <v>1430</v>
      </c>
      <c r="I348" s="22">
        <v>1430</v>
      </c>
      <c r="J348" s="22">
        <v>1430</v>
      </c>
      <c r="K348" s="73"/>
    </row>
    <row r="349" spans="1:11" s="8" customFormat="1" ht="15" customHeight="1">
      <c r="A349" s="103" t="s">
        <v>260</v>
      </c>
      <c r="B349" s="10" t="s">
        <v>602</v>
      </c>
      <c r="C349" s="97">
        <f>SUM(D349:J349)</f>
        <v>1538.331</v>
      </c>
      <c r="D349" s="95"/>
      <c r="E349" s="95">
        <v>1538.331</v>
      </c>
      <c r="F349" s="95"/>
      <c r="G349" s="22"/>
      <c r="H349" s="22"/>
      <c r="I349" s="22"/>
      <c r="J349" s="22"/>
      <c r="K349" s="73"/>
    </row>
    <row r="350" spans="1:11" s="8" customFormat="1" ht="15" customHeight="1">
      <c r="A350" s="104"/>
      <c r="B350" s="10"/>
      <c r="C350" s="115"/>
      <c r="D350" s="95"/>
      <c r="E350" s="95"/>
      <c r="F350" s="95"/>
      <c r="G350" s="22"/>
      <c r="H350" s="22"/>
      <c r="I350" s="22"/>
      <c r="J350" s="22"/>
      <c r="K350" s="73"/>
    </row>
    <row r="351" spans="1:11" s="7" customFormat="1" ht="30.75" customHeight="1">
      <c r="A351" s="172"/>
      <c r="B351" s="230" t="s">
        <v>48</v>
      </c>
      <c r="C351" s="231"/>
      <c r="D351" s="231"/>
      <c r="E351" s="231"/>
      <c r="F351" s="231"/>
      <c r="G351" s="231"/>
      <c r="H351" s="231"/>
      <c r="I351" s="231"/>
      <c r="J351" s="231"/>
      <c r="K351" s="232"/>
    </row>
    <row r="352" spans="1:11" s="8" customFormat="1" ht="15.75">
      <c r="A352" s="103" t="s">
        <v>261</v>
      </c>
      <c r="B352" s="43" t="s">
        <v>29</v>
      </c>
      <c r="C352" s="115">
        <f aca="true" t="shared" si="121" ref="C352:J352">SUM(C353:C355)</f>
        <v>225719.73200000002</v>
      </c>
      <c r="D352" s="115">
        <f t="shared" si="121"/>
        <v>30652.593</v>
      </c>
      <c r="E352" s="114">
        <f t="shared" si="121"/>
        <v>28375.639000000003</v>
      </c>
      <c r="F352" s="114">
        <f t="shared" si="121"/>
        <v>33902.5</v>
      </c>
      <c r="G352" s="16">
        <f t="shared" si="121"/>
        <v>32769</v>
      </c>
      <c r="H352" s="16">
        <f t="shared" si="121"/>
        <v>34340</v>
      </c>
      <c r="I352" s="16">
        <f t="shared" si="121"/>
        <v>32090</v>
      </c>
      <c r="J352" s="16">
        <f t="shared" si="121"/>
        <v>33590</v>
      </c>
      <c r="K352" s="73"/>
    </row>
    <row r="353" spans="1:11" s="8" customFormat="1" ht="15" customHeight="1">
      <c r="A353" s="103" t="s">
        <v>262</v>
      </c>
      <c r="B353" s="10" t="s">
        <v>600</v>
      </c>
      <c r="C353" s="97">
        <f>SUM(D353:J353)</f>
        <v>224969.73200000002</v>
      </c>
      <c r="D353" s="117">
        <f>SUM(D359+D377)</f>
        <v>29902.593</v>
      </c>
      <c r="E353" s="95">
        <f aca="true" t="shared" si="122" ref="E353:J353">SUM(E359+E377)</f>
        <v>28375.639000000003</v>
      </c>
      <c r="F353" s="95">
        <f t="shared" si="122"/>
        <v>33902.5</v>
      </c>
      <c r="G353" s="22">
        <f t="shared" si="122"/>
        <v>32769</v>
      </c>
      <c r="H353" s="22">
        <f t="shared" si="122"/>
        <v>34340</v>
      </c>
      <c r="I353" s="22">
        <f t="shared" si="122"/>
        <v>32090</v>
      </c>
      <c r="J353" s="22">
        <f t="shared" si="122"/>
        <v>33590</v>
      </c>
      <c r="K353" s="73"/>
    </row>
    <row r="354" spans="1:11" s="8" customFormat="1" ht="15" customHeight="1">
      <c r="A354" s="103" t="s">
        <v>263</v>
      </c>
      <c r="B354" s="10" t="s">
        <v>601</v>
      </c>
      <c r="C354" s="97">
        <f>SUM(D354:J354)</f>
        <v>0</v>
      </c>
      <c r="D354" s="117"/>
      <c r="E354" s="95"/>
      <c r="F354" s="95"/>
      <c r="G354" s="22"/>
      <c r="H354" s="22"/>
      <c r="I354" s="22"/>
      <c r="J354" s="22"/>
      <c r="K354" s="73"/>
    </row>
    <row r="355" spans="1:11" s="8" customFormat="1" ht="15" customHeight="1">
      <c r="A355" s="103" t="s">
        <v>264</v>
      </c>
      <c r="B355" s="10" t="s">
        <v>602</v>
      </c>
      <c r="C355" s="97">
        <f>SUM(D355:J355)</f>
        <v>750</v>
      </c>
      <c r="D355" s="117">
        <f>SUM(D361)</f>
        <v>750</v>
      </c>
      <c r="E355" s="95">
        <f aca="true" t="shared" si="123" ref="E355:J355">SUM(E361)</f>
        <v>0</v>
      </c>
      <c r="F355" s="95">
        <f t="shared" si="123"/>
        <v>0</v>
      </c>
      <c r="G355" s="22">
        <f t="shared" si="123"/>
        <v>0</v>
      </c>
      <c r="H355" s="22">
        <f t="shared" si="123"/>
        <v>0</v>
      </c>
      <c r="I355" s="22">
        <f t="shared" si="123"/>
        <v>0</v>
      </c>
      <c r="J355" s="22">
        <f t="shared" si="123"/>
        <v>0</v>
      </c>
      <c r="K355" s="73"/>
    </row>
    <row r="356" spans="1:11" s="8" customFormat="1" ht="15" customHeight="1">
      <c r="A356" s="103"/>
      <c r="B356" s="10"/>
      <c r="C356" s="97"/>
      <c r="D356" s="117"/>
      <c r="E356" s="95"/>
      <c r="F356" s="95"/>
      <c r="G356" s="22"/>
      <c r="H356" s="22"/>
      <c r="I356" s="22"/>
      <c r="J356" s="22"/>
      <c r="K356" s="73"/>
    </row>
    <row r="357" spans="1:11" s="8" customFormat="1" ht="15" customHeight="1">
      <c r="A357" s="173"/>
      <c r="B357" s="224" t="s">
        <v>604</v>
      </c>
      <c r="C357" s="225"/>
      <c r="D357" s="225"/>
      <c r="E357" s="225"/>
      <c r="F357" s="225"/>
      <c r="G357" s="225"/>
      <c r="H357" s="225"/>
      <c r="I357" s="225"/>
      <c r="J357" s="225"/>
      <c r="K357" s="226"/>
    </row>
    <row r="358" spans="1:11" s="8" customFormat="1" ht="36" customHeight="1">
      <c r="A358" s="103" t="s">
        <v>265</v>
      </c>
      <c r="B358" s="43" t="s">
        <v>21</v>
      </c>
      <c r="C358" s="97">
        <f aca="true" t="shared" si="124" ref="C358:J358">SUM(C359:C361)</f>
        <v>5250</v>
      </c>
      <c r="D358" s="97">
        <f>SUM(D359:D361)</f>
        <v>1500</v>
      </c>
      <c r="E358" s="120">
        <f>SUM(E359:E361)</f>
        <v>0</v>
      </c>
      <c r="F358" s="120">
        <f t="shared" si="124"/>
        <v>0</v>
      </c>
      <c r="G358" s="18">
        <f t="shared" si="124"/>
        <v>0</v>
      </c>
      <c r="H358" s="18">
        <f t="shared" si="124"/>
        <v>2250</v>
      </c>
      <c r="I358" s="18">
        <f t="shared" si="124"/>
        <v>0</v>
      </c>
      <c r="J358" s="18">
        <f t="shared" si="124"/>
        <v>1500</v>
      </c>
      <c r="K358" s="73"/>
    </row>
    <row r="359" spans="1:11" s="8" customFormat="1" ht="15" customHeight="1">
      <c r="A359" s="103" t="s">
        <v>266</v>
      </c>
      <c r="B359" s="10" t="s">
        <v>600</v>
      </c>
      <c r="C359" s="97">
        <f>SUM(D359:J359)</f>
        <v>4500</v>
      </c>
      <c r="D359" s="117">
        <f aca="true" t="shared" si="125" ref="D359:J359">SUM(D365+D369+D372)</f>
        <v>750</v>
      </c>
      <c r="E359" s="95">
        <f t="shared" si="125"/>
        <v>0</v>
      </c>
      <c r="F359" s="95">
        <f t="shared" si="125"/>
        <v>0</v>
      </c>
      <c r="G359" s="22">
        <f t="shared" si="125"/>
        <v>0</v>
      </c>
      <c r="H359" s="22">
        <f t="shared" si="125"/>
        <v>2250</v>
      </c>
      <c r="I359" s="22">
        <f t="shared" si="125"/>
        <v>0</v>
      </c>
      <c r="J359" s="22">
        <f t="shared" si="125"/>
        <v>1500</v>
      </c>
      <c r="K359" s="73"/>
    </row>
    <row r="360" spans="1:11" s="8" customFormat="1" ht="15" customHeight="1">
      <c r="A360" s="103" t="s">
        <v>267</v>
      </c>
      <c r="B360" s="10" t="s">
        <v>601</v>
      </c>
      <c r="C360" s="97">
        <f>SUM(D360:J360)</f>
        <v>0</v>
      </c>
      <c r="D360" s="117"/>
      <c r="E360" s="95"/>
      <c r="F360" s="95"/>
      <c r="G360" s="22"/>
      <c r="H360" s="22"/>
      <c r="I360" s="22"/>
      <c r="J360" s="22"/>
      <c r="K360" s="73"/>
    </row>
    <row r="361" spans="1:11" s="8" customFormat="1" ht="15" customHeight="1">
      <c r="A361" s="103" t="s">
        <v>268</v>
      </c>
      <c r="B361" s="10" t="s">
        <v>602</v>
      </c>
      <c r="C361" s="97">
        <f>SUM(D361:J361)</f>
        <v>750</v>
      </c>
      <c r="D361" s="117">
        <f>SUM(D373)</f>
        <v>750</v>
      </c>
      <c r="E361" s="95">
        <f aca="true" t="shared" si="126" ref="E361:J361">SUM(E373)</f>
        <v>0</v>
      </c>
      <c r="F361" s="95">
        <f t="shared" si="126"/>
        <v>0</v>
      </c>
      <c r="G361" s="22">
        <f t="shared" si="126"/>
        <v>0</v>
      </c>
      <c r="H361" s="22">
        <f t="shared" si="126"/>
        <v>0</v>
      </c>
      <c r="I361" s="22">
        <f t="shared" si="126"/>
        <v>0</v>
      </c>
      <c r="J361" s="22">
        <f t="shared" si="126"/>
        <v>0</v>
      </c>
      <c r="K361" s="73"/>
    </row>
    <row r="362" spans="1:11" s="8" customFormat="1" ht="15" customHeight="1">
      <c r="A362" s="104"/>
      <c r="B362" s="5"/>
      <c r="C362" s="97"/>
      <c r="D362" s="117"/>
      <c r="E362" s="95"/>
      <c r="F362" s="95"/>
      <c r="G362" s="22"/>
      <c r="H362" s="22"/>
      <c r="I362" s="22"/>
      <c r="J362" s="22"/>
      <c r="K362" s="73"/>
    </row>
    <row r="363" spans="1:11" s="8" customFormat="1" ht="15" customHeight="1">
      <c r="A363" s="174"/>
      <c r="B363" s="233" t="s">
        <v>605</v>
      </c>
      <c r="C363" s="234"/>
      <c r="D363" s="234"/>
      <c r="E363" s="234"/>
      <c r="F363" s="234"/>
      <c r="G363" s="234"/>
      <c r="H363" s="234"/>
      <c r="I363" s="234"/>
      <c r="J363" s="234"/>
      <c r="K363" s="235"/>
    </row>
    <row r="364" spans="1:11" s="8" customFormat="1" ht="48.75" customHeight="1">
      <c r="A364" s="103" t="s">
        <v>269</v>
      </c>
      <c r="B364" s="43" t="s">
        <v>280</v>
      </c>
      <c r="C364" s="97">
        <v>0</v>
      </c>
      <c r="D364" s="115">
        <f>SUM(D365:D366)</f>
        <v>0</v>
      </c>
      <c r="E364" s="114">
        <f aca="true" t="shared" si="127" ref="E364:J364">SUM(E365:E366)</f>
        <v>0</v>
      </c>
      <c r="F364" s="114">
        <f t="shared" si="127"/>
        <v>0</v>
      </c>
      <c r="G364" s="16">
        <f t="shared" si="127"/>
        <v>0</v>
      </c>
      <c r="H364" s="16">
        <f t="shared" si="127"/>
        <v>0</v>
      </c>
      <c r="I364" s="16">
        <f t="shared" si="127"/>
        <v>0</v>
      </c>
      <c r="J364" s="16">
        <f t="shared" si="127"/>
        <v>0</v>
      </c>
      <c r="K364" s="73"/>
    </row>
    <row r="365" spans="1:11" s="8" customFormat="1" ht="15" customHeight="1">
      <c r="A365" s="103" t="s">
        <v>270</v>
      </c>
      <c r="B365" s="10" t="s">
        <v>600</v>
      </c>
      <c r="C365" s="97">
        <f>SUM(D365:J365)</f>
        <v>0</v>
      </c>
      <c r="D365" s="117"/>
      <c r="E365" s="95"/>
      <c r="F365" s="95"/>
      <c r="G365" s="22"/>
      <c r="H365" s="22"/>
      <c r="I365" s="22"/>
      <c r="J365" s="22"/>
      <c r="K365" s="73"/>
    </row>
    <row r="366" spans="1:11" s="8" customFormat="1" ht="15" customHeight="1">
      <c r="A366" s="103"/>
      <c r="B366" s="10"/>
      <c r="C366" s="97"/>
      <c r="D366" s="117"/>
      <c r="E366" s="95"/>
      <c r="F366" s="95"/>
      <c r="G366" s="22"/>
      <c r="H366" s="22"/>
      <c r="I366" s="22"/>
      <c r="J366" s="22"/>
      <c r="K366" s="73"/>
    </row>
    <row r="367" spans="1:11" s="8" customFormat="1" ht="15" customHeight="1">
      <c r="A367" s="174"/>
      <c r="B367" s="233" t="s">
        <v>10</v>
      </c>
      <c r="C367" s="234"/>
      <c r="D367" s="234"/>
      <c r="E367" s="234"/>
      <c r="F367" s="234"/>
      <c r="G367" s="234"/>
      <c r="H367" s="234"/>
      <c r="I367" s="234"/>
      <c r="J367" s="234"/>
      <c r="K367" s="235"/>
    </row>
    <row r="368" spans="1:11" s="8" customFormat="1" ht="51.75" customHeight="1">
      <c r="A368" s="103" t="s">
        <v>271</v>
      </c>
      <c r="B368" s="43" t="s">
        <v>32</v>
      </c>
      <c r="C368" s="97">
        <f>SUM(D368:J368)</f>
        <v>1500</v>
      </c>
      <c r="D368" s="115">
        <f>SUM(D369)</f>
        <v>0</v>
      </c>
      <c r="E368" s="115">
        <f aca="true" t="shared" si="128" ref="E368:J368">SUM(E369)</f>
        <v>0</v>
      </c>
      <c r="F368" s="114">
        <f t="shared" si="128"/>
        <v>0</v>
      </c>
      <c r="G368" s="16">
        <f t="shared" si="128"/>
        <v>0</v>
      </c>
      <c r="H368" s="16">
        <f t="shared" si="128"/>
        <v>1500</v>
      </c>
      <c r="I368" s="16">
        <f t="shared" si="128"/>
        <v>0</v>
      </c>
      <c r="J368" s="16">
        <f t="shared" si="128"/>
        <v>0</v>
      </c>
      <c r="K368" s="77" t="s">
        <v>462</v>
      </c>
    </row>
    <row r="369" spans="1:11" s="8" customFormat="1" ht="15" customHeight="1">
      <c r="A369" s="103" t="s">
        <v>272</v>
      </c>
      <c r="B369" s="10" t="s">
        <v>600</v>
      </c>
      <c r="C369" s="97">
        <f>SUM(D369:J369)</f>
        <v>1500</v>
      </c>
      <c r="D369" s="117"/>
      <c r="E369" s="117"/>
      <c r="F369" s="95"/>
      <c r="G369" s="22"/>
      <c r="H369" s="22">
        <v>1500</v>
      </c>
      <c r="I369" s="22"/>
      <c r="J369" s="22"/>
      <c r="K369" s="77"/>
    </row>
    <row r="370" spans="1:11" s="8" customFormat="1" ht="15" customHeight="1">
      <c r="A370" s="103"/>
      <c r="B370" s="10"/>
      <c r="C370" s="97"/>
      <c r="D370" s="117"/>
      <c r="E370" s="117"/>
      <c r="F370" s="95"/>
      <c r="G370" s="22"/>
      <c r="H370" s="22"/>
      <c r="I370" s="22"/>
      <c r="J370" s="22"/>
      <c r="K370" s="77"/>
    </row>
    <row r="371" spans="1:11" s="8" customFormat="1" ht="79.5" customHeight="1">
      <c r="A371" s="103" t="s">
        <v>273</v>
      </c>
      <c r="B371" s="46" t="s">
        <v>42</v>
      </c>
      <c r="C371" s="115">
        <f>SUM(C372:C373)</f>
        <v>3750</v>
      </c>
      <c r="D371" s="115">
        <f>SUM(D372:D373)</f>
        <v>1500</v>
      </c>
      <c r="E371" s="115">
        <f aca="true" t="shared" si="129" ref="E371:J371">SUM(E372:E373)</f>
        <v>0</v>
      </c>
      <c r="F371" s="114">
        <f t="shared" si="129"/>
        <v>0</v>
      </c>
      <c r="G371" s="16">
        <f t="shared" si="129"/>
        <v>0</v>
      </c>
      <c r="H371" s="16">
        <f t="shared" si="129"/>
        <v>750</v>
      </c>
      <c r="I371" s="16">
        <f t="shared" si="129"/>
        <v>0</v>
      </c>
      <c r="J371" s="16">
        <f t="shared" si="129"/>
        <v>1500</v>
      </c>
      <c r="K371" s="77" t="s">
        <v>462</v>
      </c>
    </row>
    <row r="372" spans="1:11" s="8" customFormat="1" ht="15.75">
      <c r="A372" s="103" t="s">
        <v>274</v>
      </c>
      <c r="B372" s="10" t="s">
        <v>600</v>
      </c>
      <c r="C372" s="97">
        <f>SUM(D372:J372)</f>
        <v>3000</v>
      </c>
      <c r="D372" s="117">
        <f>700+50</f>
        <v>750</v>
      </c>
      <c r="E372" s="117"/>
      <c r="F372" s="95"/>
      <c r="G372" s="22"/>
      <c r="H372" s="22">
        <v>750</v>
      </c>
      <c r="I372" s="22"/>
      <c r="J372" s="22">
        <v>1500</v>
      </c>
      <c r="K372" s="73"/>
    </row>
    <row r="373" spans="1:11" s="8" customFormat="1" ht="15" customHeight="1">
      <c r="A373" s="103" t="s">
        <v>275</v>
      </c>
      <c r="B373" s="10" t="s">
        <v>602</v>
      </c>
      <c r="C373" s="97">
        <f>SUM(D373:J373)</f>
        <v>750</v>
      </c>
      <c r="D373" s="117">
        <f>750</f>
        <v>750</v>
      </c>
      <c r="E373" s="117"/>
      <c r="F373" s="95"/>
      <c r="G373" s="22"/>
      <c r="H373" s="22"/>
      <c r="I373" s="22"/>
      <c r="J373" s="22"/>
      <c r="K373" s="73"/>
    </row>
    <row r="374" spans="1:11" s="8" customFormat="1" ht="15" customHeight="1">
      <c r="A374" s="103"/>
      <c r="B374" s="12"/>
      <c r="C374" s="97"/>
      <c r="D374" s="116"/>
      <c r="E374" s="116"/>
      <c r="F374" s="111"/>
      <c r="G374" s="15"/>
      <c r="H374" s="15"/>
      <c r="I374" s="15"/>
      <c r="J374" s="15"/>
      <c r="K374" s="73"/>
    </row>
    <row r="375" spans="1:11" s="8" customFormat="1" ht="15" customHeight="1">
      <c r="A375" s="173"/>
      <c r="B375" s="224" t="s">
        <v>2</v>
      </c>
      <c r="C375" s="225"/>
      <c r="D375" s="225"/>
      <c r="E375" s="225"/>
      <c r="F375" s="225"/>
      <c r="G375" s="225"/>
      <c r="H375" s="225"/>
      <c r="I375" s="225"/>
      <c r="J375" s="225"/>
      <c r="K375" s="226"/>
    </row>
    <row r="376" spans="1:11" s="8" customFormat="1" ht="31.5">
      <c r="A376" s="103" t="s">
        <v>308</v>
      </c>
      <c r="B376" s="43" t="s">
        <v>3</v>
      </c>
      <c r="C376" s="97">
        <f>SUM(C377)</f>
        <v>220469.73200000002</v>
      </c>
      <c r="D376" s="115">
        <f>SUM(D377:D377)</f>
        <v>29152.593</v>
      </c>
      <c r="E376" s="114">
        <f aca="true" t="shared" si="130" ref="E376:J376">SUM(E377:E377)</f>
        <v>28375.639000000003</v>
      </c>
      <c r="F376" s="114">
        <f t="shared" si="130"/>
        <v>33902.5</v>
      </c>
      <c r="G376" s="16">
        <f t="shared" si="130"/>
        <v>32769</v>
      </c>
      <c r="H376" s="16">
        <f t="shared" si="130"/>
        <v>32090</v>
      </c>
      <c r="I376" s="16">
        <f t="shared" si="130"/>
        <v>32090</v>
      </c>
      <c r="J376" s="16">
        <f t="shared" si="130"/>
        <v>32090</v>
      </c>
      <c r="K376" s="73"/>
    </row>
    <row r="377" spans="1:11" s="8" customFormat="1" ht="15" customHeight="1">
      <c r="A377" s="103" t="s">
        <v>309</v>
      </c>
      <c r="B377" s="10" t="s">
        <v>600</v>
      </c>
      <c r="C377" s="115">
        <f>SUM(D377:J377)</f>
        <v>220469.73200000002</v>
      </c>
      <c r="D377" s="116">
        <f>SUM(D380+D383+D398+D401+D404)</f>
        <v>29152.593</v>
      </c>
      <c r="E377" s="111">
        <f aca="true" t="shared" si="131" ref="E377:J377">SUM(E380+E383+E398+E401+E404)</f>
        <v>28375.639000000003</v>
      </c>
      <c r="F377" s="111">
        <f t="shared" si="131"/>
        <v>33902.5</v>
      </c>
      <c r="G377" s="15">
        <f t="shared" si="131"/>
        <v>32769</v>
      </c>
      <c r="H377" s="15">
        <f t="shared" si="131"/>
        <v>32090</v>
      </c>
      <c r="I377" s="15">
        <f t="shared" si="131"/>
        <v>32090</v>
      </c>
      <c r="J377" s="15">
        <f t="shared" si="131"/>
        <v>32090</v>
      </c>
      <c r="K377" s="73"/>
    </row>
    <row r="378" spans="1:11" s="8" customFormat="1" ht="15" customHeight="1">
      <c r="A378" s="103"/>
      <c r="B378" s="12"/>
      <c r="C378" s="97"/>
      <c r="D378" s="116"/>
      <c r="E378" s="111"/>
      <c r="F378" s="111"/>
      <c r="G378" s="15"/>
      <c r="H378" s="15"/>
      <c r="I378" s="15"/>
      <c r="J378" s="15"/>
      <c r="K378" s="73"/>
    </row>
    <row r="379" spans="1:11" s="8" customFormat="1" ht="47.25">
      <c r="A379" s="103" t="s">
        <v>310</v>
      </c>
      <c r="B379" s="43" t="s">
        <v>30</v>
      </c>
      <c r="C379" s="97">
        <f>SUM(C380)</f>
        <v>26512</v>
      </c>
      <c r="D379" s="115">
        <f>SUM(D380)</f>
        <v>3600</v>
      </c>
      <c r="E379" s="114">
        <f aca="true" t="shared" si="132" ref="E379:J379">SUM(E380)</f>
        <v>3613</v>
      </c>
      <c r="F379" s="114">
        <f t="shared" si="132"/>
        <v>3681</v>
      </c>
      <c r="G379" s="16">
        <f t="shared" si="132"/>
        <v>3618</v>
      </c>
      <c r="H379" s="16">
        <f t="shared" si="132"/>
        <v>4000</v>
      </c>
      <c r="I379" s="16">
        <f t="shared" si="132"/>
        <v>4000</v>
      </c>
      <c r="J379" s="16">
        <f t="shared" si="132"/>
        <v>4000</v>
      </c>
      <c r="K379" s="77" t="s">
        <v>463</v>
      </c>
    </row>
    <row r="380" spans="1:11" s="8" customFormat="1" ht="15" customHeight="1">
      <c r="A380" s="103" t="s">
        <v>311</v>
      </c>
      <c r="B380" s="10" t="s">
        <v>600</v>
      </c>
      <c r="C380" s="97">
        <f>SUM(D380:J380)</f>
        <v>26512</v>
      </c>
      <c r="D380" s="116">
        <v>3600</v>
      </c>
      <c r="E380" s="111">
        <v>3613</v>
      </c>
      <c r="F380" s="111">
        <v>3681</v>
      </c>
      <c r="G380" s="15">
        <v>3618</v>
      </c>
      <c r="H380" s="15">
        <v>4000</v>
      </c>
      <c r="I380" s="15">
        <v>4000</v>
      </c>
      <c r="J380" s="15">
        <v>4000</v>
      </c>
      <c r="K380" s="77"/>
    </row>
    <row r="381" spans="1:11" s="8" customFormat="1" ht="15" customHeight="1">
      <c r="A381" s="103"/>
      <c r="B381" s="10"/>
      <c r="C381" s="97"/>
      <c r="D381" s="116"/>
      <c r="E381" s="111"/>
      <c r="F381" s="111"/>
      <c r="G381" s="15"/>
      <c r="H381" s="15"/>
      <c r="I381" s="15"/>
      <c r="J381" s="15"/>
      <c r="K381" s="77"/>
    </row>
    <row r="382" spans="1:11" s="8" customFormat="1" ht="99" customHeight="1">
      <c r="A382" s="103" t="s">
        <v>312</v>
      </c>
      <c r="B382" s="43" t="s">
        <v>298</v>
      </c>
      <c r="C382" s="97">
        <f aca="true" t="shared" si="133" ref="C382:J382">SUM(C383)</f>
        <v>188643.869</v>
      </c>
      <c r="D382" s="115">
        <f>SUM(D383)</f>
        <v>25048.73</v>
      </c>
      <c r="E382" s="115">
        <f t="shared" si="133"/>
        <v>24392.639000000003</v>
      </c>
      <c r="F382" s="114">
        <f t="shared" si="133"/>
        <v>29891.5</v>
      </c>
      <c r="G382" s="16">
        <f t="shared" si="133"/>
        <v>26361</v>
      </c>
      <c r="H382" s="16">
        <f t="shared" si="133"/>
        <v>27650</v>
      </c>
      <c r="I382" s="16">
        <f t="shared" si="133"/>
        <v>27650</v>
      </c>
      <c r="J382" s="16">
        <f t="shared" si="133"/>
        <v>27650</v>
      </c>
      <c r="K382" s="77" t="s">
        <v>462</v>
      </c>
    </row>
    <row r="383" spans="1:11" s="8" customFormat="1" ht="15" customHeight="1">
      <c r="A383" s="103" t="s">
        <v>313</v>
      </c>
      <c r="B383" s="10" t="s">
        <v>600</v>
      </c>
      <c r="C383" s="97">
        <f>SUM(D383:J383)</f>
        <v>188643.869</v>
      </c>
      <c r="D383" s="115">
        <f>SUM(D386+D389+D392+D395)</f>
        <v>25048.73</v>
      </c>
      <c r="E383" s="115">
        <f aca="true" t="shared" si="134" ref="E383:J383">SUM(E386+E389+E392+E395)</f>
        <v>24392.639000000003</v>
      </c>
      <c r="F383" s="114">
        <f t="shared" si="134"/>
        <v>29891.5</v>
      </c>
      <c r="G383" s="16">
        <f t="shared" si="134"/>
        <v>26361</v>
      </c>
      <c r="H383" s="16">
        <f t="shared" si="134"/>
        <v>27650</v>
      </c>
      <c r="I383" s="16">
        <f t="shared" si="134"/>
        <v>27650</v>
      </c>
      <c r="J383" s="16">
        <f t="shared" si="134"/>
        <v>27650</v>
      </c>
      <c r="K383" s="73"/>
    </row>
    <row r="384" spans="1:11" s="8" customFormat="1" ht="15" customHeight="1">
      <c r="A384" s="103"/>
      <c r="B384" s="10"/>
      <c r="C384" s="97"/>
      <c r="D384" s="116"/>
      <c r="E384" s="116"/>
      <c r="F384" s="111"/>
      <c r="G384" s="15"/>
      <c r="H384" s="15"/>
      <c r="I384" s="15"/>
      <c r="J384" s="15"/>
      <c r="K384" s="73"/>
    </row>
    <row r="385" spans="1:11" s="8" customFormat="1" ht="51" customHeight="1">
      <c r="A385" s="103" t="s">
        <v>314</v>
      </c>
      <c r="B385" s="10" t="s">
        <v>299</v>
      </c>
      <c r="C385" s="165">
        <f aca="true" t="shared" si="135" ref="C385:J385">SUM(C386)</f>
        <v>15392.73</v>
      </c>
      <c r="D385" s="166">
        <f t="shared" si="135"/>
        <v>1933.73</v>
      </c>
      <c r="E385" s="124">
        <f t="shared" si="135"/>
        <v>2373</v>
      </c>
      <c r="F385" s="124">
        <f t="shared" si="135"/>
        <v>2055</v>
      </c>
      <c r="G385" s="123">
        <f t="shared" si="135"/>
        <v>2311</v>
      </c>
      <c r="H385" s="123">
        <f t="shared" si="135"/>
        <v>2240</v>
      </c>
      <c r="I385" s="123">
        <f t="shared" si="135"/>
        <v>2240</v>
      </c>
      <c r="J385" s="123">
        <f t="shared" si="135"/>
        <v>2240</v>
      </c>
      <c r="K385" s="73"/>
    </row>
    <row r="386" spans="1:11" s="8" customFormat="1" ht="15" customHeight="1">
      <c r="A386" s="103" t="s">
        <v>315</v>
      </c>
      <c r="B386" s="10" t="s">
        <v>600</v>
      </c>
      <c r="C386" s="165">
        <f>SUM(D386:J386)</f>
        <v>15392.73</v>
      </c>
      <c r="D386" s="166">
        <v>1933.73</v>
      </c>
      <c r="E386" s="124">
        <f>2043+250+80</f>
        <v>2373</v>
      </c>
      <c r="F386" s="222">
        <f>2605-550</f>
        <v>2055</v>
      </c>
      <c r="G386" s="123">
        <v>2311</v>
      </c>
      <c r="H386" s="123">
        <v>2240</v>
      </c>
      <c r="I386" s="123">
        <v>2240</v>
      </c>
      <c r="J386" s="123">
        <v>2240</v>
      </c>
      <c r="K386" s="73"/>
    </row>
    <row r="387" spans="1:11" s="8" customFormat="1" ht="15" customHeight="1">
      <c r="A387" s="103"/>
      <c r="B387" s="10"/>
      <c r="C387" s="165"/>
      <c r="D387" s="166"/>
      <c r="E387" s="124"/>
      <c r="F387" s="124"/>
      <c r="G387" s="123"/>
      <c r="H387" s="123"/>
      <c r="I387" s="123"/>
      <c r="J387" s="123"/>
      <c r="K387" s="73"/>
    </row>
    <row r="388" spans="1:11" s="8" customFormat="1" ht="50.25" customHeight="1">
      <c r="A388" s="103" t="s">
        <v>316</v>
      </c>
      <c r="B388" s="10" t="s">
        <v>300</v>
      </c>
      <c r="C388" s="165">
        <f aca="true" t="shared" si="136" ref="C388:J388">SUM(C389)</f>
        <v>220</v>
      </c>
      <c r="D388" s="124">
        <f t="shared" si="136"/>
        <v>0</v>
      </c>
      <c r="E388" s="124">
        <f t="shared" si="136"/>
        <v>220</v>
      </c>
      <c r="F388" s="124">
        <f t="shared" si="136"/>
        <v>0</v>
      </c>
      <c r="G388" s="123">
        <f t="shared" si="136"/>
        <v>0</v>
      </c>
      <c r="H388" s="123">
        <f t="shared" si="136"/>
        <v>0</v>
      </c>
      <c r="I388" s="123">
        <f t="shared" si="136"/>
        <v>0</v>
      </c>
      <c r="J388" s="123">
        <f t="shared" si="136"/>
        <v>0</v>
      </c>
      <c r="K388" s="73"/>
    </row>
    <row r="389" spans="1:11" s="8" customFormat="1" ht="15" customHeight="1">
      <c r="A389" s="103" t="s">
        <v>317</v>
      </c>
      <c r="B389" s="10" t="s">
        <v>600</v>
      </c>
      <c r="C389" s="165">
        <f>SUM(D389:J389)</f>
        <v>220</v>
      </c>
      <c r="D389" s="124">
        <f>140-140</f>
        <v>0</v>
      </c>
      <c r="E389" s="124">
        <f>279-59</f>
        <v>220</v>
      </c>
      <c r="F389" s="124">
        <v>0</v>
      </c>
      <c r="G389" s="123">
        <v>0</v>
      </c>
      <c r="H389" s="123">
        <v>0</v>
      </c>
      <c r="I389" s="123">
        <v>0</v>
      </c>
      <c r="J389" s="123">
        <v>0</v>
      </c>
      <c r="K389" s="73"/>
    </row>
    <row r="390" spans="1:11" s="8" customFormat="1" ht="15" customHeight="1">
      <c r="A390" s="103"/>
      <c r="B390" s="10"/>
      <c r="C390" s="165"/>
      <c r="D390" s="166"/>
      <c r="E390" s="124"/>
      <c r="F390" s="124"/>
      <c r="G390" s="123"/>
      <c r="H390" s="123"/>
      <c r="I390" s="123"/>
      <c r="J390" s="123"/>
      <c r="K390" s="73"/>
    </row>
    <row r="391" spans="1:11" s="8" customFormat="1" ht="53.25" customHeight="1">
      <c r="A391" s="103" t="s">
        <v>318</v>
      </c>
      <c r="B391" s="10" t="s">
        <v>301</v>
      </c>
      <c r="C391" s="165">
        <f aca="true" t="shared" si="137" ref="C391:J391">SUM(C392)</f>
        <v>97287.526</v>
      </c>
      <c r="D391" s="166">
        <f t="shared" si="137"/>
        <v>12833</v>
      </c>
      <c r="E391" s="124">
        <f t="shared" si="137"/>
        <v>11918.626</v>
      </c>
      <c r="F391" s="124">
        <f t="shared" si="137"/>
        <v>13908.9</v>
      </c>
      <c r="G391" s="123">
        <f t="shared" si="137"/>
        <v>13897</v>
      </c>
      <c r="H391" s="123">
        <f t="shared" si="137"/>
        <v>14910</v>
      </c>
      <c r="I391" s="123">
        <f t="shared" si="137"/>
        <v>14910</v>
      </c>
      <c r="J391" s="123">
        <f t="shared" si="137"/>
        <v>14910</v>
      </c>
      <c r="K391" s="73"/>
    </row>
    <row r="392" spans="1:11" s="8" customFormat="1" ht="15" customHeight="1">
      <c r="A392" s="103" t="s">
        <v>319</v>
      </c>
      <c r="B392" s="10" t="s">
        <v>600</v>
      </c>
      <c r="C392" s="165">
        <f>SUM(D392:J392)</f>
        <v>97287.526</v>
      </c>
      <c r="D392" s="124">
        <f>12743+90</f>
        <v>12833</v>
      </c>
      <c r="E392" s="124">
        <f>12201-277.9+245.5+0.026-250</f>
        <v>11918.626</v>
      </c>
      <c r="F392" s="124">
        <f>13569.4+169.5+170</f>
        <v>13908.9</v>
      </c>
      <c r="G392" s="91">
        <v>13897</v>
      </c>
      <c r="H392" s="91">
        <v>14910</v>
      </c>
      <c r="I392" s="91">
        <v>14910</v>
      </c>
      <c r="J392" s="91">
        <v>14910</v>
      </c>
      <c r="K392" s="77"/>
    </row>
    <row r="393" spans="1:11" s="8" customFormat="1" ht="15" customHeight="1">
      <c r="A393" s="103"/>
      <c r="B393" s="10"/>
      <c r="C393" s="165"/>
      <c r="D393" s="166"/>
      <c r="E393" s="124"/>
      <c r="F393" s="124"/>
      <c r="G393" s="91"/>
      <c r="H393" s="91"/>
      <c r="I393" s="91"/>
      <c r="J393" s="91"/>
      <c r="K393" s="77"/>
    </row>
    <row r="394" spans="1:11" s="8" customFormat="1" ht="48" customHeight="1">
      <c r="A394" s="103" t="s">
        <v>320</v>
      </c>
      <c r="B394" s="10" t="s">
        <v>302</v>
      </c>
      <c r="C394" s="165">
        <f aca="true" t="shared" si="138" ref="C394:J394">SUM(C395)</f>
        <v>75743.613</v>
      </c>
      <c r="D394" s="166">
        <f t="shared" si="138"/>
        <v>10282</v>
      </c>
      <c r="E394" s="124">
        <f t="shared" si="138"/>
        <v>9881.013</v>
      </c>
      <c r="F394" s="124">
        <f t="shared" si="138"/>
        <v>13927.6</v>
      </c>
      <c r="G394" s="91">
        <f t="shared" si="138"/>
        <v>10153</v>
      </c>
      <c r="H394" s="91">
        <f t="shared" si="138"/>
        <v>10500</v>
      </c>
      <c r="I394" s="91">
        <f t="shared" si="138"/>
        <v>10500</v>
      </c>
      <c r="J394" s="91">
        <f t="shared" si="138"/>
        <v>10500</v>
      </c>
      <c r="K394" s="77"/>
    </row>
    <row r="395" spans="1:11" s="8" customFormat="1" ht="15" customHeight="1">
      <c r="A395" s="103" t="s">
        <v>321</v>
      </c>
      <c r="B395" s="10" t="s">
        <v>600</v>
      </c>
      <c r="C395" s="165">
        <f>SUM(D395:J395)</f>
        <v>75743.613</v>
      </c>
      <c r="D395" s="166">
        <v>10282</v>
      </c>
      <c r="E395" s="124">
        <f>9977-15.987-80</f>
        <v>9881.013</v>
      </c>
      <c r="F395" s="124">
        <f>13927.6+1000-1000</f>
        <v>13927.6</v>
      </c>
      <c r="G395" s="91">
        <v>10153</v>
      </c>
      <c r="H395" s="91">
        <v>10500</v>
      </c>
      <c r="I395" s="91">
        <v>10500</v>
      </c>
      <c r="J395" s="91">
        <v>10500</v>
      </c>
      <c r="K395" s="77"/>
    </row>
    <row r="396" spans="1:11" s="8" customFormat="1" ht="15" customHeight="1">
      <c r="A396" s="103"/>
      <c r="B396" s="10"/>
      <c r="C396" s="97"/>
      <c r="D396" s="116"/>
      <c r="E396" s="111"/>
      <c r="F396" s="111"/>
      <c r="G396" s="52"/>
      <c r="H396" s="52"/>
      <c r="I396" s="52"/>
      <c r="J396" s="52"/>
      <c r="K396" s="77"/>
    </row>
    <row r="397" spans="1:11" s="8" customFormat="1" ht="36.75" customHeight="1">
      <c r="A397" s="103" t="s">
        <v>322</v>
      </c>
      <c r="B397" s="43" t="s">
        <v>303</v>
      </c>
      <c r="C397" s="97">
        <f aca="true" t="shared" si="139" ref="C397:J397">SUM(C398)</f>
        <v>2130</v>
      </c>
      <c r="D397" s="114">
        <f t="shared" si="139"/>
        <v>290</v>
      </c>
      <c r="E397" s="114">
        <f t="shared" si="139"/>
        <v>290</v>
      </c>
      <c r="F397" s="114">
        <f t="shared" si="139"/>
        <v>330</v>
      </c>
      <c r="G397" s="35">
        <f t="shared" si="139"/>
        <v>230</v>
      </c>
      <c r="H397" s="35">
        <f t="shared" si="139"/>
        <v>330</v>
      </c>
      <c r="I397" s="35">
        <f t="shared" si="139"/>
        <v>330</v>
      </c>
      <c r="J397" s="35">
        <f t="shared" si="139"/>
        <v>330</v>
      </c>
      <c r="K397" s="77" t="s">
        <v>457</v>
      </c>
    </row>
    <row r="398" spans="1:11" s="8" customFormat="1" ht="15" customHeight="1">
      <c r="A398" s="103" t="s">
        <v>323</v>
      </c>
      <c r="B398" s="10" t="s">
        <v>600</v>
      </c>
      <c r="C398" s="97">
        <f>SUM(D398:J398)</f>
        <v>2130</v>
      </c>
      <c r="D398" s="111">
        <f>120+200-30</f>
        <v>290</v>
      </c>
      <c r="E398" s="111">
        <f>230+60</f>
        <v>290</v>
      </c>
      <c r="F398" s="111">
        <f>30+300</f>
        <v>330</v>
      </c>
      <c r="G398" s="52">
        <v>230</v>
      </c>
      <c r="H398" s="52">
        <f>130+200</f>
        <v>330</v>
      </c>
      <c r="I398" s="52">
        <f>130+200</f>
        <v>330</v>
      </c>
      <c r="J398" s="52">
        <f>130+200</f>
        <v>330</v>
      </c>
      <c r="K398" s="77"/>
    </row>
    <row r="399" spans="1:11" s="8" customFormat="1" ht="15" customHeight="1">
      <c r="A399" s="103"/>
      <c r="B399" s="10"/>
      <c r="C399" s="97"/>
      <c r="D399" s="111"/>
      <c r="E399" s="111"/>
      <c r="F399" s="111"/>
      <c r="G399" s="52"/>
      <c r="H399" s="52"/>
      <c r="I399" s="52"/>
      <c r="J399" s="52"/>
      <c r="K399" s="77"/>
    </row>
    <row r="400" spans="1:11" s="8" customFormat="1" ht="96.75" customHeight="1">
      <c r="A400" s="103" t="s">
        <v>324</v>
      </c>
      <c r="B400" s="43" t="s">
        <v>306</v>
      </c>
      <c r="C400" s="97">
        <f aca="true" t="shared" si="140" ref="C400:J400">SUM(C401)</f>
        <v>473.863</v>
      </c>
      <c r="D400" s="114">
        <f t="shared" si="140"/>
        <v>133.863</v>
      </c>
      <c r="E400" s="114">
        <f t="shared" si="140"/>
        <v>0</v>
      </c>
      <c r="F400" s="114">
        <f t="shared" si="140"/>
        <v>0</v>
      </c>
      <c r="G400" s="35">
        <f t="shared" si="140"/>
        <v>160</v>
      </c>
      <c r="H400" s="35">
        <f t="shared" si="140"/>
        <v>60</v>
      </c>
      <c r="I400" s="35">
        <f t="shared" si="140"/>
        <v>60</v>
      </c>
      <c r="J400" s="35">
        <f t="shared" si="140"/>
        <v>60</v>
      </c>
      <c r="K400" s="77" t="s">
        <v>464</v>
      </c>
    </row>
    <row r="401" spans="1:11" s="8" customFormat="1" ht="15" customHeight="1">
      <c r="A401" s="103" t="s">
        <v>325</v>
      </c>
      <c r="B401" s="10" t="s">
        <v>600</v>
      </c>
      <c r="C401" s="97">
        <f>SUM(D401:J401)</f>
        <v>473.863</v>
      </c>
      <c r="D401" s="111">
        <v>133.863</v>
      </c>
      <c r="E401" s="111">
        <v>0</v>
      </c>
      <c r="F401" s="111">
        <v>0</v>
      </c>
      <c r="G401" s="15">
        <v>160</v>
      </c>
      <c r="H401" s="15">
        <v>60</v>
      </c>
      <c r="I401" s="15">
        <v>60</v>
      </c>
      <c r="J401" s="15">
        <v>60</v>
      </c>
      <c r="K401" s="73"/>
    </row>
    <row r="402" spans="1:11" s="8" customFormat="1" ht="15" customHeight="1">
      <c r="A402" s="103"/>
      <c r="B402" s="10"/>
      <c r="C402" s="97"/>
      <c r="D402" s="111"/>
      <c r="E402" s="111"/>
      <c r="F402" s="111"/>
      <c r="G402" s="15"/>
      <c r="H402" s="15"/>
      <c r="I402" s="15"/>
      <c r="J402" s="15"/>
      <c r="K402" s="73"/>
    </row>
    <row r="403" spans="1:11" s="8" customFormat="1" ht="52.5" customHeight="1">
      <c r="A403" s="103" t="s">
        <v>326</v>
      </c>
      <c r="B403" s="43" t="s">
        <v>307</v>
      </c>
      <c r="C403" s="97">
        <f>SUM(D403:J403)</f>
        <v>2710</v>
      </c>
      <c r="D403" s="114">
        <f>SUM(D404)</f>
        <v>80</v>
      </c>
      <c r="E403" s="114">
        <f aca="true" t="shared" si="141" ref="E403:J403">SUM(E404)</f>
        <v>80</v>
      </c>
      <c r="F403" s="114">
        <f t="shared" si="141"/>
        <v>0</v>
      </c>
      <c r="G403" s="35">
        <f t="shared" si="141"/>
        <v>2400</v>
      </c>
      <c r="H403" s="35">
        <f t="shared" si="141"/>
        <v>50</v>
      </c>
      <c r="I403" s="35">
        <f t="shared" si="141"/>
        <v>50</v>
      </c>
      <c r="J403" s="35">
        <f t="shared" si="141"/>
        <v>50</v>
      </c>
      <c r="K403" s="77" t="s">
        <v>465</v>
      </c>
    </row>
    <row r="404" spans="1:11" s="8" customFormat="1" ht="15.75" customHeight="1">
      <c r="A404" s="102" t="s">
        <v>327</v>
      </c>
      <c r="B404" s="10" t="s">
        <v>600</v>
      </c>
      <c r="C404" s="97">
        <f>SUM(D404:J404)</f>
        <v>2710</v>
      </c>
      <c r="D404" s="111">
        <v>80</v>
      </c>
      <c r="E404" s="111">
        <f>200-120</f>
        <v>80</v>
      </c>
      <c r="F404" s="111">
        <v>0</v>
      </c>
      <c r="G404" s="52">
        <v>2400</v>
      </c>
      <c r="H404" s="52">
        <v>50</v>
      </c>
      <c r="I404" s="52">
        <v>50</v>
      </c>
      <c r="J404" s="52">
        <v>50</v>
      </c>
      <c r="K404" s="73"/>
    </row>
    <row r="405" spans="1:11" s="8" customFormat="1" ht="15.75" customHeight="1">
      <c r="A405" s="102"/>
      <c r="B405" s="10"/>
      <c r="C405" s="97"/>
      <c r="D405" s="111"/>
      <c r="E405" s="111"/>
      <c r="F405" s="111"/>
      <c r="G405" s="52"/>
      <c r="H405" s="52"/>
      <c r="I405" s="52"/>
      <c r="J405" s="52"/>
      <c r="K405" s="73"/>
    </row>
    <row r="406" spans="1:11" s="7" customFormat="1" ht="15" customHeight="1">
      <c r="A406" s="172"/>
      <c r="B406" s="230" t="s">
        <v>60</v>
      </c>
      <c r="C406" s="231"/>
      <c r="D406" s="231"/>
      <c r="E406" s="231"/>
      <c r="F406" s="231"/>
      <c r="G406" s="231"/>
      <c r="H406" s="231"/>
      <c r="I406" s="231"/>
      <c r="J406" s="231"/>
      <c r="K406" s="232"/>
    </row>
    <row r="407" spans="1:11" s="8" customFormat="1" ht="15.75">
      <c r="A407" s="103" t="s">
        <v>328</v>
      </c>
      <c r="B407" s="43" t="s">
        <v>61</v>
      </c>
      <c r="C407" s="97">
        <f>SUM(C408:C411)</f>
        <v>160929</v>
      </c>
      <c r="D407" s="115">
        <f>SUM(D408:D411)</f>
        <v>0</v>
      </c>
      <c r="E407" s="115">
        <f aca="true" t="shared" si="142" ref="E407:J407">SUM(E408:E411)</f>
        <v>24014</v>
      </c>
      <c r="F407" s="114">
        <f t="shared" si="142"/>
        <v>30767</v>
      </c>
      <c r="G407" s="16">
        <f t="shared" si="142"/>
        <v>26272</v>
      </c>
      <c r="H407" s="16">
        <f t="shared" si="142"/>
        <v>26512</v>
      </c>
      <c r="I407" s="16">
        <f t="shared" si="142"/>
        <v>26682</v>
      </c>
      <c r="J407" s="16">
        <f t="shared" si="142"/>
        <v>26682</v>
      </c>
      <c r="K407" s="73"/>
    </row>
    <row r="408" spans="1:11" s="8" customFormat="1" ht="15" customHeight="1">
      <c r="A408" s="103" t="s">
        <v>329</v>
      </c>
      <c r="B408" s="10" t="s">
        <v>600</v>
      </c>
      <c r="C408" s="97">
        <f>SUM(D408:J408)</f>
        <v>1460</v>
      </c>
      <c r="D408" s="117">
        <f aca="true" t="shared" si="143" ref="D408:J408">SUM(D414+D420)</f>
        <v>0</v>
      </c>
      <c r="E408" s="117">
        <f t="shared" si="143"/>
        <v>0</v>
      </c>
      <c r="F408" s="95">
        <f t="shared" si="143"/>
        <v>0</v>
      </c>
      <c r="G408" s="22">
        <f t="shared" si="143"/>
        <v>100</v>
      </c>
      <c r="H408" s="22">
        <f t="shared" si="143"/>
        <v>340</v>
      </c>
      <c r="I408" s="22">
        <f t="shared" si="143"/>
        <v>510</v>
      </c>
      <c r="J408" s="22">
        <f t="shared" si="143"/>
        <v>510</v>
      </c>
      <c r="K408" s="73"/>
    </row>
    <row r="409" spans="1:11" s="8" customFormat="1" ht="15" customHeight="1">
      <c r="A409" s="103" t="s">
        <v>374</v>
      </c>
      <c r="B409" s="10" t="s">
        <v>601</v>
      </c>
      <c r="C409" s="97">
        <f>SUM(D409:J409)</f>
        <v>0</v>
      </c>
      <c r="D409" s="117"/>
      <c r="E409" s="117"/>
      <c r="F409" s="95"/>
      <c r="G409" s="22"/>
      <c r="H409" s="22"/>
      <c r="I409" s="22"/>
      <c r="J409" s="22"/>
      <c r="K409" s="73"/>
    </row>
    <row r="410" spans="1:11" s="8" customFormat="1" ht="15" customHeight="1">
      <c r="A410" s="103" t="s">
        <v>376</v>
      </c>
      <c r="B410" s="10" t="s">
        <v>602</v>
      </c>
      <c r="C410" s="97">
        <f>SUM(D410:J410)</f>
        <v>159469</v>
      </c>
      <c r="D410" s="117">
        <f>SUM(D422)</f>
        <v>0</v>
      </c>
      <c r="E410" s="117">
        <f aca="true" t="shared" si="144" ref="E410:J410">SUM(E422)</f>
        <v>24014</v>
      </c>
      <c r="F410" s="95">
        <f t="shared" si="144"/>
        <v>30767</v>
      </c>
      <c r="G410" s="22">
        <f t="shared" si="144"/>
        <v>26172</v>
      </c>
      <c r="H410" s="22">
        <f t="shared" si="144"/>
        <v>26172</v>
      </c>
      <c r="I410" s="22">
        <f t="shared" si="144"/>
        <v>26172</v>
      </c>
      <c r="J410" s="22">
        <f t="shared" si="144"/>
        <v>26172</v>
      </c>
      <c r="K410" s="73"/>
    </row>
    <row r="411" spans="1:11" s="8" customFormat="1" ht="15" customHeight="1">
      <c r="A411" s="103" t="s">
        <v>390</v>
      </c>
      <c r="B411" s="10" t="s">
        <v>603</v>
      </c>
      <c r="C411" s="97">
        <f>SUM(D411:J411)</f>
        <v>0</v>
      </c>
      <c r="D411" s="117"/>
      <c r="E411" s="117"/>
      <c r="F411" s="95"/>
      <c r="G411" s="22"/>
      <c r="H411" s="22"/>
      <c r="I411" s="22"/>
      <c r="J411" s="22"/>
      <c r="K411" s="73"/>
    </row>
    <row r="412" spans="1:11" s="8" customFormat="1" ht="15" customHeight="1">
      <c r="A412" s="173"/>
      <c r="B412" s="224" t="s">
        <v>604</v>
      </c>
      <c r="C412" s="225"/>
      <c r="D412" s="225"/>
      <c r="E412" s="225"/>
      <c r="F412" s="225"/>
      <c r="G412" s="225"/>
      <c r="H412" s="225"/>
      <c r="I412" s="225"/>
      <c r="J412" s="225"/>
      <c r="K412" s="226"/>
    </row>
    <row r="413" spans="1:11" s="8" customFormat="1" ht="35.25" customHeight="1">
      <c r="A413" s="103" t="s">
        <v>391</v>
      </c>
      <c r="B413" s="43" t="s">
        <v>21</v>
      </c>
      <c r="C413" s="97">
        <v>0</v>
      </c>
      <c r="D413" s="115"/>
      <c r="E413" s="115"/>
      <c r="F413" s="114"/>
      <c r="G413" s="16"/>
      <c r="H413" s="16"/>
      <c r="I413" s="16"/>
      <c r="J413" s="16"/>
      <c r="K413" s="73"/>
    </row>
    <row r="414" spans="1:11" s="8" customFormat="1" ht="15" customHeight="1">
      <c r="A414" s="103" t="s">
        <v>392</v>
      </c>
      <c r="B414" s="10" t="s">
        <v>600</v>
      </c>
      <c r="C414" s="97">
        <f>SUM(D414:J414)</f>
        <v>0</v>
      </c>
      <c r="D414" s="117"/>
      <c r="E414" s="117"/>
      <c r="F414" s="95"/>
      <c r="G414" s="22"/>
      <c r="H414" s="22"/>
      <c r="I414" s="22"/>
      <c r="J414" s="22"/>
      <c r="K414" s="73"/>
    </row>
    <row r="415" spans="1:11" s="8" customFormat="1" ht="15" customHeight="1">
      <c r="A415" s="176"/>
      <c r="B415" s="227" t="s">
        <v>605</v>
      </c>
      <c r="C415" s="228"/>
      <c r="D415" s="228"/>
      <c r="E415" s="228"/>
      <c r="F415" s="228"/>
      <c r="G415" s="228"/>
      <c r="H415" s="228"/>
      <c r="I415" s="228"/>
      <c r="J415" s="228"/>
      <c r="K415" s="229"/>
    </row>
    <row r="416" spans="1:11" s="8" customFormat="1" ht="48.75" customHeight="1">
      <c r="A416" s="103" t="s">
        <v>395</v>
      </c>
      <c r="B416" s="43" t="s">
        <v>279</v>
      </c>
      <c r="C416" s="97">
        <v>0</v>
      </c>
      <c r="D416" s="115"/>
      <c r="E416" s="115"/>
      <c r="F416" s="114"/>
      <c r="G416" s="16"/>
      <c r="H416" s="16"/>
      <c r="I416" s="16"/>
      <c r="J416" s="16"/>
      <c r="K416" s="73"/>
    </row>
    <row r="417" spans="1:11" s="8" customFormat="1" ht="15" customHeight="1">
      <c r="A417" s="103" t="s">
        <v>396</v>
      </c>
      <c r="B417" s="10" t="s">
        <v>600</v>
      </c>
      <c r="C417" s="97">
        <f>SUM(D417:J417)</f>
        <v>0</v>
      </c>
      <c r="D417" s="117"/>
      <c r="E417" s="117"/>
      <c r="F417" s="95"/>
      <c r="G417" s="22"/>
      <c r="H417" s="22"/>
      <c r="I417" s="22"/>
      <c r="J417" s="22"/>
      <c r="K417" s="73"/>
    </row>
    <row r="418" spans="1:11" s="8" customFormat="1" ht="15" customHeight="1">
      <c r="A418" s="173"/>
      <c r="B418" s="224" t="s">
        <v>2</v>
      </c>
      <c r="C418" s="225"/>
      <c r="D418" s="225"/>
      <c r="E418" s="225"/>
      <c r="F418" s="225"/>
      <c r="G418" s="225"/>
      <c r="H418" s="225"/>
      <c r="I418" s="225"/>
      <c r="J418" s="225"/>
      <c r="K418" s="226"/>
    </row>
    <row r="419" spans="1:11" s="8" customFormat="1" ht="31.5">
      <c r="A419" s="103" t="s">
        <v>397</v>
      </c>
      <c r="B419" s="43" t="s">
        <v>3</v>
      </c>
      <c r="C419" s="97">
        <f>SUM(B420:C422)</f>
        <v>160929</v>
      </c>
      <c r="D419" s="115">
        <v>0</v>
      </c>
      <c r="E419" s="114">
        <f aca="true" t="shared" si="145" ref="E419:J419">SUM(E420:E422)</f>
        <v>24014</v>
      </c>
      <c r="F419" s="114">
        <f t="shared" si="145"/>
        <v>30767</v>
      </c>
      <c r="G419" s="16">
        <f t="shared" si="145"/>
        <v>26272</v>
      </c>
      <c r="H419" s="16">
        <f t="shared" si="145"/>
        <v>26512</v>
      </c>
      <c r="I419" s="16">
        <f t="shared" si="145"/>
        <v>26682</v>
      </c>
      <c r="J419" s="16">
        <f t="shared" si="145"/>
        <v>26682</v>
      </c>
      <c r="K419" s="79"/>
    </row>
    <row r="420" spans="1:11" s="8" customFormat="1" ht="15" customHeight="1">
      <c r="A420" s="103" t="s">
        <v>398</v>
      </c>
      <c r="B420" s="10" t="s">
        <v>600</v>
      </c>
      <c r="C420" s="97">
        <f>SUM(D420:J420)</f>
        <v>1460</v>
      </c>
      <c r="D420" s="117">
        <f>SUM(D428+D431+D434+D437)</f>
        <v>0</v>
      </c>
      <c r="E420" s="95">
        <f aca="true" t="shared" si="146" ref="E420:J420">SUM(E428+E431+E434+E437)</f>
        <v>0</v>
      </c>
      <c r="F420" s="95">
        <f t="shared" si="146"/>
        <v>0</v>
      </c>
      <c r="G420" s="22">
        <f t="shared" si="146"/>
        <v>100</v>
      </c>
      <c r="H420" s="22">
        <f t="shared" si="146"/>
        <v>340</v>
      </c>
      <c r="I420" s="22">
        <f t="shared" si="146"/>
        <v>510</v>
      </c>
      <c r="J420" s="22">
        <f t="shared" si="146"/>
        <v>510</v>
      </c>
      <c r="K420" s="79"/>
    </row>
    <row r="421" spans="1:11" s="8" customFormat="1" ht="15" customHeight="1">
      <c r="A421" s="103" t="s">
        <v>399</v>
      </c>
      <c r="B421" s="10" t="s">
        <v>601</v>
      </c>
      <c r="C421" s="97">
        <f>SUM(D421:J421)</f>
        <v>0</v>
      </c>
      <c r="D421" s="117">
        <v>0</v>
      </c>
      <c r="E421" s="95">
        <v>0</v>
      </c>
      <c r="F421" s="95">
        <v>0</v>
      </c>
      <c r="G421" s="22">
        <v>0</v>
      </c>
      <c r="H421" s="22">
        <v>0</v>
      </c>
      <c r="I421" s="22">
        <v>0</v>
      </c>
      <c r="J421" s="22">
        <v>0</v>
      </c>
      <c r="K421" s="73"/>
    </row>
    <row r="422" spans="1:11" s="8" customFormat="1" ht="15" customHeight="1">
      <c r="A422" s="103" t="s">
        <v>400</v>
      </c>
      <c r="B422" s="10" t="s">
        <v>602</v>
      </c>
      <c r="C422" s="97">
        <f>SUM(D422:J422)</f>
        <v>159469</v>
      </c>
      <c r="D422" s="95">
        <f aca="true" t="shared" si="147" ref="D422:J422">SUM(D425)</f>
        <v>0</v>
      </c>
      <c r="E422" s="95">
        <f t="shared" si="147"/>
        <v>24014</v>
      </c>
      <c r="F422" s="95">
        <f t="shared" si="147"/>
        <v>30767</v>
      </c>
      <c r="G422" s="34">
        <f t="shared" si="147"/>
        <v>26172</v>
      </c>
      <c r="H422" s="34">
        <f t="shared" si="147"/>
        <v>26172</v>
      </c>
      <c r="I422" s="34">
        <f t="shared" si="147"/>
        <v>26172</v>
      </c>
      <c r="J422" s="34">
        <f t="shared" si="147"/>
        <v>26172</v>
      </c>
      <c r="K422" s="73"/>
    </row>
    <row r="423" spans="1:11" s="8" customFormat="1" ht="15" customHeight="1">
      <c r="A423" s="103"/>
      <c r="B423" s="10"/>
      <c r="C423" s="97"/>
      <c r="D423" s="95"/>
      <c r="E423" s="95"/>
      <c r="F423" s="95"/>
      <c r="G423" s="34"/>
      <c r="H423" s="34"/>
      <c r="I423" s="34"/>
      <c r="J423" s="34"/>
      <c r="K423" s="73"/>
    </row>
    <row r="424" spans="1:11" s="8" customFormat="1" ht="61.5" customHeight="1">
      <c r="A424" s="103" t="s">
        <v>401</v>
      </c>
      <c r="B424" s="43" t="s">
        <v>62</v>
      </c>
      <c r="C424" s="115">
        <f aca="true" t="shared" si="148" ref="C424:J424">SUM(C425)</f>
        <v>159469</v>
      </c>
      <c r="D424" s="114">
        <f>SUM(D425)</f>
        <v>0</v>
      </c>
      <c r="E424" s="114">
        <f t="shared" si="148"/>
        <v>24014</v>
      </c>
      <c r="F424" s="114">
        <f t="shared" si="148"/>
        <v>30767</v>
      </c>
      <c r="G424" s="35">
        <f t="shared" si="148"/>
        <v>26172</v>
      </c>
      <c r="H424" s="35">
        <f t="shared" si="148"/>
        <v>26172</v>
      </c>
      <c r="I424" s="35">
        <f t="shared" si="148"/>
        <v>26172</v>
      </c>
      <c r="J424" s="35">
        <f t="shared" si="148"/>
        <v>26172</v>
      </c>
      <c r="K424" s="77" t="s">
        <v>451</v>
      </c>
    </row>
    <row r="425" spans="1:11" s="8" customFormat="1" ht="15.75" customHeight="1">
      <c r="A425" s="103" t="s">
        <v>402</v>
      </c>
      <c r="B425" s="10" t="s">
        <v>602</v>
      </c>
      <c r="C425" s="97">
        <f>SUM(D425:J425)</f>
        <v>159469</v>
      </c>
      <c r="D425" s="95">
        <v>0</v>
      </c>
      <c r="E425" s="95">
        <v>24014</v>
      </c>
      <c r="F425" s="95">
        <f>30767</f>
        <v>30767</v>
      </c>
      <c r="G425" s="34">
        <v>26172</v>
      </c>
      <c r="H425" s="34">
        <v>26172</v>
      </c>
      <c r="I425" s="34">
        <v>26172</v>
      </c>
      <c r="J425" s="34">
        <v>26172</v>
      </c>
      <c r="K425" s="77"/>
    </row>
    <row r="426" spans="1:11" s="8" customFormat="1" ht="15.75" customHeight="1">
      <c r="A426" s="103"/>
      <c r="B426" s="10"/>
      <c r="C426" s="97"/>
      <c r="D426" s="95"/>
      <c r="E426" s="95"/>
      <c r="F426" s="95"/>
      <c r="G426" s="34"/>
      <c r="H426" s="34"/>
      <c r="I426" s="34"/>
      <c r="J426" s="34"/>
      <c r="K426" s="77"/>
    </row>
    <row r="427" spans="1:11" s="8" customFormat="1" ht="48" customHeight="1">
      <c r="A427" s="102" t="s">
        <v>470</v>
      </c>
      <c r="B427" s="43" t="s">
        <v>63</v>
      </c>
      <c r="C427" s="97">
        <f>SUM(D427:J427)</f>
        <v>1400</v>
      </c>
      <c r="D427" s="114">
        <f>SUM(D428)</f>
        <v>0</v>
      </c>
      <c r="E427" s="114">
        <f aca="true" t="shared" si="149" ref="E427:J427">SUM(E428)</f>
        <v>0</v>
      </c>
      <c r="F427" s="114">
        <f t="shared" si="149"/>
        <v>0</v>
      </c>
      <c r="G427" s="35">
        <f t="shared" si="149"/>
        <v>100</v>
      </c>
      <c r="H427" s="35">
        <f t="shared" si="149"/>
        <v>300</v>
      </c>
      <c r="I427" s="35">
        <f t="shared" si="149"/>
        <v>500</v>
      </c>
      <c r="J427" s="35">
        <f t="shared" si="149"/>
        <v>500</v>
      </c>
      <c r="K427" s="77" t="s">
        <v>466</v>
      </c>
    </row>
    <row r="428" spans="1:11" s="8" customFormat="1" ht="15.75" customHeight="1">
      <c r="A428" s="102" t="s">
        <v>471</v>
      </c>
      <c r="B428" s="10" t="s">
        <v>600</v>
      </c>
      <c r="C428" s="97">
        <f>SUM(D428:J428)</f>
        <v>1400</v>
      </c>
      <c r="D428" s="111">
        <v>0</v>
      </c>
      <c r="E428" s="111">
        <v>0</v>
      </c>
      <c r="F428" s="220">
        <f>100-100</f>
        <v>0</v>
      </c>
      <c r="G428" s="52">
        <v>100</v>
      </c>
      <c r="H428" s="52">
        <v>300</v>
      </c>
      <c r="I428" s="52">
        <v>500</v>
      </c>
      <c r="J428" s="52">
        <v>500</v>
      </c>
      <c r="K428" s="77"/>
    </row>
    <row r="429" spans="1:11" s="8" customFormat="1" ht="15.75" customHeight="1">
      <c r="A429" s="102"/>
      <c r="B429" s="10"/>
      <c r="C429" s="97"/>
      <c r="D429" s="111"/>
      <c r="E429" s="111"/>
      <c r="F429" s="111"/>
      <c r="G429" s="52"/>
      <c r="H429" s="52"/>
      <c r="I429" s="52"/>
      <c r="J429" s="52"/>
      <c r="K429" s="77"/>
    </row>
    <row r="430" spans="1:11" s="8" customFormat="1" ht="52.5" customHeight="1">
      <c r="A430" s="102" t="s">
        <v>472</v>
      </c>
      <c r="B430" s="43" t="s">
        <v>64</v>
      </c>
      <c r="C430" s="97">
        <f>SUM(D430:J430)</f>
        <v>30</v>
      </c>
      <c r="D430" s="114">
        <f>SUM(D431)</f>
        <v>0</v>
      </c>
      <c r="E430" s="114">
        <f aca="true" t="shared" si="150" ref="E430:J430">SUM(E431)</f>
        <v>0</v>
      </c>
      <c r="F430" s="114">
        <f t="shared" si="150"/>
        <v>0</v>
      </c>
      <c r="G430" s="35">
        <f t="shared" si="150"/>
        <v>0</v>
      </c>
      <c r="H430" s="35">
        <f t="shared" si="150"/>
        <v>10</v>
      </c>
      <c r="I430" s="35">
        <f t="shared" si="150"/>
        <v>10</v>
      </c>
      <c r="J430" s="35">
        <f t="shared" si="150"/>
        <v>10</v>
      </c>
      <c r="K430" s="77" t="s">
        <v>467</v>
      </c>
    </row>
    <row r="431" spans="1:11" s="8" customFormat="1" ht="15.75" customHeight="1">
      <c r="A431" s="102" t="s">
        <v>473</v>
      </c>
      <c r="B431" s="10" t="s">
        <v>600</v>
      </c>
      <c r="C431" s="97">
        <f>SUM(D431:J431)</f>
        <v>30</v>
      </c>
      <c r="D431" s="111"/>
      <c r="E431" s="111"/>
      <c r="F431" s="111"/>
      <c r="G431" s="52"/>
      <c r="H431" s="52">
        <v>10</v>
      </c>
      <c r="I431" s="52">
        <v>10</v>
      </c>
      <c r="J431" s="52">
        <v>10</v>
      </c>
      <c r="K431" s="77"/>
    </row>
    <row r="432" spans="1:11" s="8" customFormat="1" ht="15.75" customHeight="1">
      <c r="A432" s="102"/>
      <c r="B432" s="10"/>
      <c r="C432" s="97"/>
      <c r="D432" s="111"/>
      <c r="E432" s="111"/>
      <c r="F432" s="111"/>
      <c r="G432" s="52"/>
      <c r="H432" s="52"/>
      <c r="I432" s="52"/>
      <c r="J432" s="52"/>
      <c r="K432" s="77"/>
    </row>
    <row r="433" spans="1:11" s="8" customFormat="1" ht="34.5" customHeight="1">
      <c r="A433" s="102" t="s">
        <v>522</v>
      </c>
      <c r="B433" s="43" t="s">
        <v>65</v>
      </c>
      <c r="C433" s="97">
        <v>0</v>
      </c>
      <c r="D433" s="114">
        <f>SUM(D434)</f>
        <v>0</v>
      </c>
      <c r="E433" s="114">
        <f aca="true" t="shared" si="151" ref="E433:J433">SUM(E434)</f>
        <v>0</v>
      </c>
      <c r="F433" s="114">
        <f t="shared" si="151"/>
        <v>0</v>
      </c>
      <c r="G433" s="35">
        <f t="shared" si="151"/>
        <v>0</v>
      </c>
      <c r="H433" s="35">
        <f t="shared" si="151"/>
        <v>0</v>
      </c>
      <c r="I433" s="35">
        <f t="shared" si="151"/>
        <v>0</v>
      </c>
      <c r="J433" s="35">
        <f t="shared" si="151"/>
        <v>0</v>
      </c>
      <c r="K433" s="77" t="s">
        <v>468</v>
      </c>
    </row>
    <row r="434" spans="1:11" s="8" customFormat="1" ht="15.75" customHeight="1">
      <c r="A434" s="102" t="s">
        <v>523</v>
      </c>
      <c r="B434" s="10" t="s">
        <v>600</v>
      </c>
      <c r="C434" s="97">
        <v>0</v>
      </c>
      <c r="D434" s="111"/>
      <c r="E434" s="111"/>
      <c r="F434" s="111"/>
      <c r="G434" s="52"/>
      <c r="H434" s="52"/>
      <c r="I434" s="52"/>
      <c r="J434" s="52"/>
      <c r="K434" s="77"/>
    </row>
    <row r="435" spans="1:11" s="8" customFormat="1" ht="15.75" customHeight="1">
      <c r="A435" s="102"/>
      <c r="B435" s="10"/>
      <c r="C435" s="97"/>
      <c r="D435" s="111"/>
      <c r="E435" s="111"/>
      <c r="F435" s="111"/>
      <c r="G435" s="52"/>
      <c r="H435" s="52"/>
      <c r="I435" s="52"/>
      <c r="J435" s="52"/>
      <c r="K435" s="77"/>
    </row>
    <row r="436" spans="1:11" s="8" customFormat="1" ht="49.5" customHeight="1">
      <c r="A436" s="102" t="s">
        <v>524</v>
      </c>
      <c r="B436" s="43" t="s">
        <v>66</v>
      </c>
      <c r="C436" s="97">
        <f>SUM(D436:J436)</f>
        <v>30</v>
      </c>
      <c r="D436" s="114">
        <f>SUM(D437)</f>
        <v>0</v>
      </c>
      <c r="E436" s="114">
        <f aca="true" t="shared" si="152" ref="E436:J436">SUM(E437)</f>
        <v>0</v>
      </c>
      <c r="F436" s="114">
        <f t="shared" si="152"/>
        <v>0</v>
      </c>
      <c r="G436" s="35">
        <f t="shared" si="152"/>
        <v>0</v>
      </c>
      <c r="H436" s="35">
        <f t="shared" si="152"/>
        <v>30</v>
      </c>
      <c r="I436" s="35">
        <f t="shared" si="152"/>
        <v>0</v>
      </c>
      <c r="J436" s="35">
        <f t="shared" si="152"/>
        <v>0</v>
      </c>
      <c r="K436" s="77" t="s">
        <v>469</v>
      </c>
    </row>
    <row r="437" spans="1:11" s="8" customFormat="1" ht="15.75" customHeight="1">
      <c r="A437" s="102" t="s">
        <v>579</v>
      </c>
      <c r="B437" s="10" t="s">
        <v>600</v>
      </c>
      <c r="C437" s="97">
        <f>SUM(D437:J437)</f>
        <v>30</v>
      </c>
      <c r="D437" s="111"/>
      <c r="E437" s="111"/>
      <c r="F437" s="111"/>
      <c r="G437" s="52"/>
      <c r="H437" s="52">
        <v>30</v>
      </c>
      <c r="I437" s="52"/>
      <c r="J437" s="52"/>
      <c r="K437" s="73"/>
    </row>
    <row r="439" ht="12.75" customHeight="1" hidden="1">
      <c r="C439" s="3" t="s">
        <v>33</v>
      </c>
    </row>
    <row r="440" spans="2:11" ht="12.75" customHeight="1" hidden="1">
      <c r="B440" s="53" t="s">
        <v>34</v>
      </c>
      <c r="C440" s="16">
        <f aca="true" t="shared" si="153" ref="C440:C445">SUM(D440:J440)</f>
        <v>5148257.949</v>
      </c>
      <c r="D440" s="54">
        <f aca="true" t="shared" si="154" ref="D440:J440">SUM(D18)</f>
        <v>707299.138</v>
      </c>
      <c r="E440" s="54">
        <f t="shared" si="154"/>
        <v>713636.937</v>
      </c>
      <c r="F440" s="35">
        <f t="shared" si="154"/>
        <v>701959.6740000001</v>
      </c>
      <c r="G440" s="54">
        <f t="shared" si="154"/>
        <v>703983.3</v>
      </c>
      <c r="H440" s="54">
        <f t="shared" si="154"/>
        <v>776796.3</v>
      </c>
      <c r="I440" s="54">
        <f t="shared" si="154"/>
        <v>771766.3</v>
      </c>
      <c r="J440" s="54">
        <f t="shared" si="154"/>
        <v>772816.3</v>
      </c>
      <c r="K440" s="80"/>
    </row>
    <row r="441" spans="2:11" ht="12.75" customHeight="1" hidden="1">
      <c r="B441" s="55" t="s">
        <v>35</v>
      </c>
      <c r="C441" s="56">
        <f t="shared" si="153"/>
        <v>36798.448000000004</v>
      </c>
      <c r="D441" s="57">
        <f>SUM(D212+D242+D248)</f>
        <v>36798.448000000004</v>
      </c>
      <c r="E441" s="57">
        <f aca="true" t="shared" si="155" ref="E441:J441">SUM(E212+E242)</f>
        <v>0</v>
      </c>
      <c r="F441" s="204">
        <f t="shared" si="155"/>
        <v>0</v>
      </c>
      <c r="G441" s="57">
        <f t="shared" si="155"/>
        <v>0</v>
      </c>
      <c r="H441" s="57">
        <f t="shared" si="155"/>
        <v>0</v>
      </c>
      <c r="I441" s="57">
        <f t="shared" si="155"/>
        <v>0</v>
      </c>
      <c r="J441" s="57">
        <f t="shared" si="155"/>
        <v>0</v>
      </c>
      <c r="K441" s="73"/>
    </row>
    <row r="442" spans="2:11" ht="12.75" customHeight="1" hidden="1">
      <c r="B442" s="55" t="s">
        <v>52</v>
      </c>
      <c r="C442" s="56">
        <f t="shared" si="153"/>
        <v>49099.123</v>
      </c>
      <c r="D442" s="57">
        <f aca="true" t="shared" si="156" ref="D442:J442">SUM(D43)</f>
        <v>49099.123</v>
      </c>
      <c r="E442" s="57">
        <f t="shared" si="156"/>
        <v>0</v>
      </c>
      <c r="F442" s="204">
        <f t="shared" si="156"/>
        <v>0</v>
      </c>
      <c r="G442" s="57">
        <f t="shared" si="156"/>
        <v>0</v>
      </c>
      <c r="H442" s="57">
        <f t="shared" si="156"/>
        <v>0</v>
      </c>
      <c r="I442" s="57">
        <f t="shared" si="156"/>
        <v>0</v>
      </c>
      <c r="J442" s="57">
        <f t="shared" si="156"/>
        <v>0</v>
      </c>
      <c r="K442" s="73"/>
    </row>
    <row r="443" spans="2:11" ht="12.75" customHeight="1" hidden="1">
      <c r="B443" s="55" t="s">
        <v>53</v>
      </c>
      <c r="C443" s="56">
        <f t="shared" si="153"/>
        <v>3103.2219999999998</v>
      </c>
      <c r="D443" s="57">
        <f aca="true" t="shared" si="157" ref="D443:J443">SUM(D118)</f>
        <v>2207</v>
      </c>
      <c r="E443" s="57">
        <f t="shared" si="157"/>
        <v>896.222</v>
      </c>
      <c r="F443" s="204">
        <f t="shared" si="157"/>
        <v>0</v>
      </c>
      <c r="G443" s="57">
        <f t="shared" si="157"/>
        <v>0</v>
      </c>
      <c r="H443" s="57">
        <f t="shared" si="157"/>
        <v>0</v>
      </c>
      <c r="I443" s="57">
        <f t="shared" si="157"/>
        <v>0</v>
      </c>
      <c r="J443" s="57">
        <f t="shared" si="157"/>
        <v>0</v>
      </c>
      <c r="K443" s="73"/>
    </row>
    <row r="444" spans="2:11" ht="12.75" customHeight="1" hidden="1">
      <c r="B444" s="55" t="s">
        <v>39</v>
      </c>
      <c r="C444" s="56">
        <f t="shared" si="153"/>
        <v>281697.4</v>
      </c>
      <c r="D444" s="57">
        <f aca="true" t="shared" si="158" ref="D444:J444">SUM(D22)</f>
        <v>35197.4</v>
      </c>
      <c r="E444" s="57">
        <f t="shared" si="158"/>
        <v>38000</v>
      </c>
      <c r="F444" s="204">
        <f t="shared" si="158"/>
        <v>41700</v>
      </c>
      <c r="G444" s="57">
        <f t="shared" si="158"/>
        <v>41700</v>
      </c>
      <c r="H444" s="57">
        <f t="shared" si="158"/>
        <v>41700</v>
      </c>
      <c r="I444" s="57">
        <f t="shared" si="158"/>
        <v>41700</v>
      </c>
      <c r="J444" s="57">
        <f t="shared" si="158"/>
        <v>41700</v>
      </c>
      <c r="K444" s="73"/>
    </row>
    <row r="445" spans="2:11" ht="12.75" customHeight="1" hidden="1">
      <c r="B445" s="58"/>
      <c r="C445" s="56">
        <f t="shared" si="153"/>
        <v>0</v>
      </c>
      <c r="D445" s="57"/>
      <c r="E445" s="57"/>
      <c r="F445" s="204"/>
      <c r="G445" s="57"/>
      <c r="H445" s="57"/>
      <c r="I445" s="57"/>
      <c r="J445" s="57"/>
      <c r="K445" s="73"/>
    </row>
    <row r="446" spans="2:11" ht="12.75" customHeight="1" hidden="1">
      <c r="B446" s="106"/>
      <c r="C446" s="16"/>
      <c r="D446" s="51"/>
      <c r="E446" s="51"/>
      <c r="F446" s="52"/>
      <c r="G446" s="51"/>
      <c r="H446" s="51"/>
      <c r="I446" s="51"/>
      <c r="J446" s="51"/>
      <c r="K446" s="73"/>
    </row>
    <row r="447" spans="2:11" ht="12.75" customHeight="1" hidden="1">
      <c r="B447" s="59" t="s">
        <v>36</v>
      </c>
      <c r="C447" s="60">
        <f>SUM(D447:J447)</f>
        <v>1400</v>
      </c>
      <c r="D447" s="61">
        <v>400</v>
      </c>
      <c r="E447" s="62">
        <v>500</v>
      </c>
      <c r="F447" s="62">
        <v>500</v>
      </c>
      <c r="G447" s="62"/>
      <c r="H447" s="62"/>
      <c r="I447" s="62"/>
      <c r="J447" s="62"/>
      <c r="K447" s="73"/>
    </row>
    <row r="448" spans="2:11" ht="25.5" customHeight="1" hidden="1">
      <c r="B448" s="65" t="s">
        <v>46</v>
      </c>
      <c r="C448" s="60">
        <f>SUM(D448:J448)</f>
        <v>199.6</v>
      </c>
      <c r="D448" s="61">
        <v>99.6</v>
      </c>
      <c r="E448" s="62">
        <v>24</v>
      </c>
      <c r="F448" s="62">
        <v>76</v>
      </c>
      <c r="G448" s="62"/>
      <c r="H448" s="62"/>
      <c r="I448" s="62"/>
      <c r="J448" s="62"/>
      <c r="K448" s="73"/>
    </row>
    <row r="449" spans="2:11" ht="12.75" customHeight="1" hidden="1">
      <c r="B449" s="59" t="s">
        <v>37</v>
      </c>
      <c r="C449" s="60">
        <f>SUM(D449:J449)</f>
        <v>735</v>
      </c>
      <c r="D449" s="61">
        <f>243.2+248.6</f>
        <v>491.79999999999995</v>
      </c>
      <c r="E449" s="62"/>
      <c r="F449" s="62">
        <v>243.2</v>
      </c>
      <c r="G449" s="62"/>
      <c r="H449" s="62"/>
      <c r="I449" s="62"/>
      <c r="J449" s="62"/>
      <c r="K449" s="73"/>
    </row>
    <row r="450" spans="2:11" ht="25.5" customHeight="1" hidden="1">
      <c r="B450" s="65" t="s">
        <v>45</v>
      </c>
      <c r="C450" s="60">
        <f>SUM(D450:J450)</f>
        <v>390</v>
      </c>
      <c r="D450" s="61">
        <v>390</v>
      </c>
      <c r="E450" s="62"/>
      <c r="F450" s="62"/>
      <c r="G450" s="62"/>
      <c r="H450" s="62"/>
      <c r="I450" s="62"/>
      <c r="J450" s="62"/>
      <c r="K450" s="73"/>
    </row>
    <row r="451" spans="2:11" ht="25.5" customHeight="1" hidden="1">
      <c r="B451" s="65" t="s">
        <v>44</v>
      </c>
      <c r="C451" s="60">
        <f>SUM(D451:J451)</f>
        <v>14953</v>
      </c>
      <c r="D451" s="61">
        <f>8343+6610</f>
        <v>14953</v>
      </c>
      <c r="E451" s="62"/>
      <c r="F451" s="62"/>
      <c r="G451" s="62"/>
      <c r="H451" s="62"/>
      <c r="I451" s="62"/>
      <c r="J451" s="62"/>
      <c r="K451" s="73"/>
    </row>
    <row r="452" spans="2:11" ht="12.75" customHeight="1" hidden="1">
      <c r="B452" s="106"/>
      <c r="C452" s="16"/>
      <c r="D452" s="51"/>
      <c r="E452" s="52"/>
      <c r="F452" s="52"/>
      <c r="G452" s="52"/>
      <c r="H452" s="52"/>
      <c r="I452" s="52"/>
      <c r="J452" s="52"/>
      <c r="K452" s="73"/>
    </row>
    <row r="453" spans="2:11" ht="12.75" customHeight="1" hidden="1">
      <c r="B453" s="106" t="s">
        <v>43</v>
      </c>
      <c r="C453" s="16">
        <f>SUM(D453:J453)</f>
        <v>4795237.356</v>
      </c>
      <c r="D453" s="51">
        <f>SUM(D440-D441-D442-D443-D444-D445+D447+D448+D449+D450+D451)</f>
        <v>600331.567</v>
      </c>
      <c r="E453" s="51">
        <f aca="true" t="shared" si="159" ref="E453:J453">SUM(E440-E441-E442-E443-E444-E445+E447+E448+E449+E450+E451)</f>
        <v>675264.7150000001</v>
      </c>
      <c r="F453" s="52">
        <f t="shared" si="159"/>
        <v>661078.8740000001</v>
      </c>
      <c r="G453" s="51">
        <f t="shared" si="159"/>
        <v>662283.3</v>
      </c>
      <c r="H453" s="51">
        <f t="shared" si="159"/>
        <v>735096.3</v>
      </c>
      <c r="I453" s="51">
        <f t="shared" si="159"/>
        <v>730066.3</v>
      </c>
      <c r="J453" s="51">
        <f t="shared" si="159"/>
        <v>731116.3</v>
      </c>
      <c r="K453" s="73"/>
    </row>
    <row r="454" spans="1:11" s="3" customFormat="1" ht="38.25" customHeight="1" hidden="1">
      <c r="A454" s="169"/>
      <c r="B454" s="84" t="s">
        <v>51</v>
      </c>
      <c r="C454" s="16">
        <f>SUM(D454:J454)</f>
        <v>1879872.9599999997</v>
      </c>
      <c r="D454" s="54">
        <f>577370.1-1100+1148+877+1245.1+750+390+248.6+8343+6610+3606.7+210.16-1207+657.7+6741-9304-896</f>
        <v>595690.3599999999</v>
      </c>
      <c r="E454" s="54">
        <f>609594.9+5000+930</f>
        <v>615524.9</v>
      </c>
      <c r="F454" s="35">
        <f>662674.7+5000+983</f>
        <v>668657.7</v>
      </c>
      <c r="G454" s="54"/>
      <c r="H454" s="54"/>
      <c r="I454" s="54"/>
      <c r="J454" s="54"/>
      <c r="K454" s="80"/>
    </row>
    <row r="455" spans="1:11" s="63" customFormat="1" ht="12.75" customHeight="1" hidden="1">
      <c r="A455" s="169"/>
      <c r="B455" s="106" t="s">
        <v>38</v>
      </c>
      <c r="C455" s="109">
        <f>SUM(D455:J455)</f>
        <v>2915364.3960000006</v>
      </c>
      <c r="D455" s="64">
        <f aca="true" t="shared" si="160" ref="D455:J455">D453-D454</f>
        <v>4641.2070000001695</v>
      </c>
      <c r="E455" s="64">
        <f t="shared" si="160"/>
        <v>59739.81500000006</v>
      </c>
      <c r="F455" s="30">
        <f t="shared" si="160"/>
        <v>-7578.8259999998845</v>
      </c>
      <c r="G455" s="64">
        <f t="shared" si="160"/>
        <v>662283.3</v>
      </c>
      <c r="H455" s="64">
        <f t="shared" si="160"/>
        <v>735096.3</v>
      </c>
      <c r="I455" s="64">
        <f t="shared" si="160"/>
        <v>730066.3</v>
      </c>
      <c r="J455" s="64">
        <f t="shared" si="160"/>
        <v>731116.3</v>
      </c>
      <c r="K455" s="75"/>
    </row>
    <row r="456" ht="12.75" customHeight="1" hidden="1"/>
    <row r="457" ht="12.75" customHeight="1" hidden="1"/>
    <row r="458" spans="2:3" ht="12.75" customHeight="1" hidden="1">
      <c r="B458" s="83" t="s">
        <v>40</v>
      </c>
      <c r="C458" s="3" t="s">
        <v>41</v>
      </c>
    </row>
    <row r="459" ht="12.75" customHeight="1" hidden="1"/>
    <row r="460" ht="12.75" customHeight="1" hidden="1">
      <c r="B460" s="105" t="s">
        <v>50</v>
      </c>
    </row>
    <row r="461" ht="12.75" customHeight="1" hidden="1"/>
    <row r="462" ht="12.75" customHeight="1" hidden="1"/>
  </sheetData>
  <sheetProtection/>
  <mergeCells count="41">
    <mergeCell ref="I5:K5"/>
    <mergeCell ref="K15:K17"/>
    <mergeCell ref="H6:K6"/>
    <mergeCell ref="A13:K13"/>
    <mergeCell ref="H7:K7"/>
    <mergeCell ref="H8:K8"/>
    <mergeCell ref="H9:K9"/>
    <mergeCell ref="H10:K10"/>
    <mergeCell ref="B48:K48"/>
    <mergeCell ref="B61:K61"/>
    <mergeCell ref="C15:J15"/>
    <mergeCell ref="A11:K11"/>
    <mergeCell ref="A12:K12"/>
    <mergeCell ref="C16:C17"/>
    <mergeCell ref="B15:B17"/>
    <mergeCell ref="A15:A17"/>
    <mergeCell ref="B36:K36"/>
    <mergeCell ref="B42:K42"/>
    <mergeCell ref="B150:K150"/>
    <mergeCell ref="B330:K330"/>
    <mergeCell ref="B351:K351"/>
    <mergeCell ref="B68:K68"/>
    <mergeCell ref="B138:K138"/>
    <mergeCell ref="B418:K418"/>
    <mergeCell ref="B144:K144"/>
    <mergeCell ref="B176:K176"/>
    <mergeCell ref="B289:K289"/>
    <mergeCell ref="B294:K294"/>
    <mergeCell ref="B299:K299"/>
    <mergeCell ref="B308:K308"/>
    <mergeCell ref="B357:K357"/>
    <mergeCell ref="B324:K324"/>
    <mergeCell ref="B327:K327"/>
    <mergeCell ref="B412:K412"/>
    <mergeCell ref="B415:K415"/>
    <mergeCell ref="B318:K318"/>
    <mergeCell ref="B161:K161"/>
    <mergeCell ref="B375:K375"/>
    <mergeCell ref="B406:K406"/>
    <mergeCell ref="B367:K367"/>
    <mergeCell ref="B363:K363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9" r:id="rId1"/>
  <rowBreaks count="15" manualBreakCount="15">
    <brk id="47" max="10" man="1"/>
    <brk id="84" max="10" man="1"/>
    <brk id="116" max="10" man="1"/>
    <brk id="149" max="10" man="1"/>
    <brk id="175" max="10" man="1"/>
    <brk id="212" max="10" man="1"/>
    <brk id="241" max="10" man="1"/>
    <brk id="267" max="10" man="1"/>
    <brk id="298" max="10" man="1"/>
    <brk id="329" max="10" man="1"/>
    <brk id="350" max="10" man="1"/>
    <brk id="374" max="10" man="1"/>
    <brk id="395" max="10" man="1"/>
    <brk id="417" max="10" man="1"/>
    <brk id="4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1">
      <selection activeCell="A10" sqref="A10:P10"/>
    </sheetView>
  </sheetViews>
  <sheetFormatPr defaultColWidth="9.00390625" defaultRowHeight="12.75"/>
  <cols>
    <col min="1" max="1" width="7.00390625" style="128" customWidth="1"/>
    <col min="2" max="2" width="40.00390625" style="131" customWidth="1"/>
    <col min="3" max="3" width="16.25390625" style="0" customWidth="1"/>
    <col min="4" max="4" width="15.25390625" style="0" customWidth="1"/>
    <col min="5" max="5" width="12.75390625" style="0" customWidth="1"/>
    <col min="6" max="7" width="11.125" style="0" customWidth="1"/>
    <col min="8" max="8" width="12.625" style="0" customWidth="1"/>
    <col min="9" max="16" width="11.125" style="0" customWidth="1"/>
  </cols>
  <sheetData>
    <row r="1" spans="1:16" s="1" customFormat="1" ht="15.75">
      <c r="A1" s="98"/>
      <c r="B1" s="2"/>
      <c r="C1" s="107"/>
      <c r="G1" s="82"/>
      <c r="H1" s="82"/>
      <c r="I1" s="82"/>
      <c r="J1" s="248" t="s">
        <v>377</v>
      </c>
      <c r="K1" s="248"/>
      <c r="L1" s="248"/>
      <c r="M1" s="248"/>
      <c r="N1" s="248"/>
      <c r="O1" s="248"/>
      <c r="P1" s="248"/>
    </row>
    <row r="2" spans="1:16" s="1" customFormat="1" ht="15.75">
      <c r="A2" s="98"/>
      <c r="B2" s="81"/>
      <c r="C2" s="108"/>
      <c r="E2" s="82"/>
      <c r="F2" s="82"/>
      <c r="G2" s="82"/>
      <c r="H2" s="82"/>
      <c r="I2" s="82"/>
      <c r="J2" s="248" t="s">
        <v>378</v>
      </c>
      <c r="K2" s="248"/>
      <c r="L2" s="248"/>
      <c r="M2" s="248"/>
      <c r="N2" s="248"/>
      <c r="O2" s="248"/>
      <c r="P2" s="248"/>
    </row>
    <row r="3" spans="1:16" s="1" customFormat="1" ht="15.75">
      <c r="A3" s="98"/>
      <c r="B3" s="81"/>
      <c r="C3" s="108"/>
      <c r="E3" s="68"/>
      <c r="F3" s="68"/>
      <c r="G3" s="68"/>
      <c r="H3" s="68"/>
      <c r="I3" s="68"/>
      <c r="J3" s="248" t="s">
        <v>379</v>
      </c>
      <c r="K3" s="248"/>
      <c r="L3" s="248"/>
      <c r="M3" s="248"/>
      <c r="N3" s="248"/>
      <c r="O3" s="248"/>
      <c r="P3" s="248"/>
    </row>
    <row r="4" spans="1:16" s="1" customFormat="1" ht="15.75">
      <c r="A4" s="98"/>
      <c r="B4" s="81"/>
      <c r="C4" s="108"/>
      <c r="D4" s="168"/>
      <c r="E4" s="68"/>
      <c r="F4" s="68"/>
      <c r="G4" s="68"/>
      <c r="H4" s="68"/>
      <c r="I4" s="68"/>
      <c r="J4" s="248" t="s">
        <v>348</v>
      </c>
      <c r="K4" s="248"/>
      <c r="L4" s="248"/>
      <c r="M4" s="248"/>
      <c r="N4" s="248"/>
      <c r="O4" s="248"/>
      <c r="P4" s="248"/>
    </row>
    <row r="5" spans="1:16" s="1" customFormat="1" ht="15.75">
      <c r="A5" s="98"/>
      <c r="B5" s="81"/>
      <c r="C5" s="108"/>
      <c r="E5" s="68"/>
      <c r="F5" s="68"/>
      <c r="G5" s="68"/>
      <c r="H5" s="68"/>
      <c r="I5" s="127"/>
      <c r="J5" s="248" t="s">
        <v>380</v>
      </c>
      <c r="K5" s="248"/>
      <c r="L5" s="248"/>
      <c r="M5" s="248"/>
      <c r="N5" s="248"/>
      <c r="O5" s="248"/>
      <c r="P5" s="248"/>
    </row>
    <row r="6" spans="1:16" s="1" customFormat="1" ht="15.75">
      <c r="A6" s="98"/>
      <c r="B6" s="81"/>
      <c r="C6" s="108"/>
      <c r="D6" s="168"/>
      <c r="E6" s="68"/>
      <c r="F6" s="68"/>
      <c r="G6" s="68"/>
      <c r="H6" s="127"/>
      <c r="I6" s="127"/>
      <c r="J6" s="248" t="s">
        <v>381</v>
      </c>
      <c r="K6" s="248"/>
      <c r="L6" s="248"/>
      <c r="M6" s="248"/>
      <c r="N6" s="248"/>
      <c r="O6" s="248"/>
      <c r="P6" s="248"/>
    </row>
    <row r="7" spans="2:17" s="1" customFormat="1" ht="15">
      <c r="B7" s="2"/>
      <c r="D7" s="82"/>
      <c r="E7" s="82"/>
      <c r="F7" s="82"/>
      <c r="I7" s="148"/>
      <c r="J7" s="148"/>
      <c r="K7" s="148"/>
      <c r="L7" s="148"/>
      <c r="M7" s="148"/>
      <c r="N7" s="148"/>
      <c r="O7" s="148"/>
      <c r="P7" s="148"/>
      <c r="Q7" s="125"/>
    </row>
    <row r="8" spans="2:16" s="126" customFormat="1" ht="12.75">
      <c r="B8" s="105"/>
      <c r="D8" s="127"/>
      <c r="E8" s="127"/>
      <c r="F8" s="127"/>
      <c r="I8" s="127"/>
      <c r="J8" s="127"/>
      <c r="K8" s="127"/>
      <c r="L8" s="127"/>
      <c r="M8" s="127"/>
      <c r="N8" s="127"/>
      <c r="O8" s="127"/>
      <c r="P8" s="127"/>
    </row>
    <row r="9" spans="1:2" s="1" customFormat="1" ht="15">
      <c r="A9" s="128"/>
      <c r="B9" s="2"/>
    </row>
    <row r="10" spans="1:16" s="1" customFormat="1" ht="15.75">
      <c r="A10" s="242" t="s">
        <v>349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</row>
    <row r="11" spans="1:16" s="1" customFormat="1" ht="15.75">
      <c r="A11" s="242" t="s">
        <v>350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</row>
    <row r="12" spans="1:16" s="1" customFormat="1" ht="15.75">
      <c r="A12" s="242" t="s">
        <v>351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</row>
    <row r="13" spans="1:2" s="1" customFormat="1" ht="15">
      <c r="A13" s="128"/>
      <c r="B13" s="2"/>
    </row>
    <row r="14" spans="1:16" s="3" customFormat="1" ht="35.25" customHeight="1">
      <c r="A14" s="243" t="s">
        <v>596</v>
      </c>
      <c r="B14" s="243" t="s">
        <v>364</v>
      </c>
      <c r="C14" s="249" t="s">
        <v>353</v>
      </c>
      <c r="D14" s="249" t="s">
        <v>356</v>
      </c>
      <c r="E14" s="260" t="s">
        <v>358</v>
      </c>
      <c r="F14" s="260"/>
      <c r="G14" s="252" t="s">
        <v>361</v>
      </c>
      <c r="H14" s="253"/>
      <c r="I14" s="256" t="s">
        <v>97</v>
      </c>
      <c r="J14" s="257"/>
      <c r="K14" s="257"/>
      <c r="L14" s="257"/>
      <c r="M14" s="257"/>
      <c r="N14" s="257"/>
      <c r="O14" s="257"/>
      <c r="P14" s="258"/>
    </row>
    <row r="15" spans="1:16" s="3" customFormat="1" ht="35.25" customHeight="1">
      <c r="A15" s="219"/>
      <c r="B15" s="219"/>
      <c r="C15" s="250"/>
      <c r="D15" s="250"/>
      <c r="E15" s="261" t="s">
        <v>359</v>
      </c>
      <c r="F15" s="261" t="s">
        <v>360</v>
      </c>
      <c r="G15" s="254"/>
      <c r="H15" s="255"/>
      <c r="I15" s="259" t="s">
        <v>598</v>
      </c>
      <c r="J15" s="136" t="s">
        <v>100</v>
      </c>
      <c r="K15" s="136" t="s">
        <v>101</v>
      </c>
      <c r="L15" s="136" t="s">
        <v>102</v>
      </c>
      <c r="M15" s="136" t="s">
        <v>103</v>
      </c>
      <c r="N15" s="136" t="s">
        <v>104</v>
      </c>
      <c r="O15" s="136" t="s">
        <v>105</v>
      </c>
      <c r="P15" s="136" t="s">
        <v>106</v>
      </c>
    </row>
    <row r="16" spans="1:16" s="3" customFormat="1" ht="30.75" customHeight="1">
      <c r="A16" s="244"/>
      <c r="B16" s="244"/>
      <c r="C16" s="251"/>
      <c r="D16" s="251"/>
      <c r="E16" s="262"/>
      <c r="F16" s="262"/>
      <c r="G16" s="135" t="s">
        <v>362</v>
      </c>
      <c r="H16" s="129" t="s">
        <v>363</v>
      </c>
      <c r="I16" s="259"/>
      <c r="J16" s="4">
        <v>2014</v>
      </c>
      <c r="K16" s="4">
        <v>2015</v>
      </c>
      <c r="L16" s="4">
        <v>2016</v>
      </c>
      <c r="M16" s="4">
        <v>2017</v>
      </c>
      <c r="N16" s="4">
        <v>2018</v>
      </c>
      <c r="O16" s="4">
        <v>2019</v>
      </c>
      <c r="P16" s="4">
        <v>2020</v>
      </c>
    </row>
    <row r="17" spans="1:16" s="126" customFormat="1" ht="15" customHeight="1">
      <c r="A17" s="130">
        <v>1</v>
      </c>
      <c r="B17" s="130">
        <v>2</v>
      </c>
      <c r="C17" s="129">
        <v>3</v>
      </c>
      <c r="D17" s="129">
        <v>4</v>
      </c>
      <c r="E17" s="129">
        <v>5</v>
      </c>
      <c r="F17" s="129">
        <v>6</v>
      </c>
      <c r="G17" s="129">
        <v>7</v>
      </c>
      <c r="H17" s="129">
        <v>8</v>
      </c>
      <c r="I17" s="129">
        <v>10</v>
      </c>
      <c r="J17" s="129">
        <v>11</v>
      </c>
      <c r="K17" s="129">
        <v>12</v>
      </c>
      <c r="L17" s="129">
        <v>13</v>
      </c>
      <c r="M17" s="129">
        <v>14</v>
      </c>
      <c r="N17" s="129">
        <v>15</v>
      </c>
      <c r="O17" s="129">
        <v>16</v>
      </c>
      <c r="P17" s="129">
        <v>17</v>
      </c>
    </row>
    <row r="18" spans="1:16" s="23" customFormat="1" ht="48.75" customHeight="1">
      <c r="A18" s="137">
        <v>1</v>
      </c>
      <c r="B18" s="138" t="s">
        <v>369</v>
      </c>
      <c r="C18" s="139" t="s">
        <v>368</v>
      </c>
      <c r="D18" s="139" t="s">
        <v>357</v>
      </c>
      <c r="E18" s="141">
        <v>54000</v>
      </c>
      <c r="F18" s="141">
        <v>54000</v>
      </c>
      <c r="G18" s="145" t="s">
        <v>366</v>
      </c>
      <c r="H18" s="145" t="s">
        <v>367</v>
      </c>
      <c r="I18" s="141"/>
      <c r="J18" s="141"/>
      <c r="K18" s="141"/>
      <c r="L18" s="141"/>
      <c r="M18" s="141"/>
      <c r="N18" s="141"/>
      <c r="O18" s="141"/>
      <c r="P18" s="141"/>
    </row>
    <row r="19" spans="1:16" s="25" customFormat="1" ht="28.5" customHeight="1">
      <c r="A19" s="132">
        <v>2</v>
      </c>
      <c r="B19" s="133" t="s">
        <v>352</v>
      </c>
      <c r="C19" s="16"/>
      <c r="D19" s="16"/>
      <c r="E19" s="142"/>
      <c r="F19" s="141"/>
      <c r="G19" s="146"/>
      <c r="H19" s="147"/>
      <c r="I19" s="140">
        <f>SUM(I20:I22)</f>
        <v>49099.1</v>
      </c>
      <c r="J19" s="140">
        <f aca="true" t="shared" si="0" ref="J19:P19">SUM(J20:J22)</f>
        <v>49099.1</v>
      </c>
      <c r="K19" s="140">
        <f t="shared" si="0"/>
        <v>0</v>
      </c>
      <c r="L19" s="140">
        <f t="shared" si="0"/>
        <v>0</v>
      </c>
      <c r="M19" s="140">
        <f t="shared" si="0"/>
        <v>0</v>
      </c>
      <c r="N19" s="140">
        <f t="shared" si="0"/>
        <v>0</v>
      </c>
      <c r="O19" s="140">
        <f t="shared" si="0"/>
        <v>0</v>
      </c>
      <c r="P19" s="140">
        <f t="shared" si="0"/>
        <v>0</v>
      </c>
    </row>
    <row r="20" spans="1:16" s="126" customFormat="1" ht="15.75">
      <c r="A20" s="134">
        <v>3</v>
      </c>
      <c r="B20" s="11" t="s">
        <v>600</v>
      </c>
      <c r="C20" s="16"/>
      <c r="D20" s="16"/>
      <c r="E20" s="142"/>
      <c r="F20" s="141"/>
      <c r="G20" s="146"/>
      <c r="H20" s="147"/>
      <c r="I20" s="141">
        <f>SUM(J20:P20)</f>
        <v>1737.8</v>
      </c>
      <c r="J20" s="144">
        <v>1737.8</v>
      </c>
      <c r="K20" s="141"/>
      <c r="L20" s="141"/>
      <c r="M20" s="144"/>
      <c r="N20" s="144"/>
      <c r="O20" s="144"/>
      <c r="P20" s="144"/>
    </row>
    <row r="21" spans="1:16" s="126" customFormat="1" ht="15.75">
      <c r="A21" s="134">
        <v>4</v>
      </c>
      <c r="B21" s="11" t="s">
        <v>370</v>
      </c>
      <c r="C21" s="16"/>
      <c r="D21" s="16"/>
      <c r="E21" s="142"/>
      <c r="F21" s="141"/>
      <c r="G21" s="146"/>
      <c r="H21" s="147"/>
      <c r="I21" s="141">
        <f>SUM(J21:P21)</f>
        <v>12802.1</v>
      </c>
      <c r="J21" s="144">
        <v>12802.1</v>
      </c>
      <c r="K21" s="141"/>
      <c r="L21" s="141"/>
      <c r="M21" s="144"/>
      <c r="N21" s="144"/>
      <c r="O21" s="144"/>
      <c r="P21" s="144"/>
    </row>
    <row r="22" spans="1:16" s="126" customFormat="1" ht="15.75">
      <c r="A22" s="134">
        <v>5</v>
      </c>
      <c r="B22" s="11" t="s">
        <v>602</v>
      </c>
      <c r="C22" s="16"/>
      <c r="D22" s="16"/>
      <c r="E22" s="142"/>
      <c r="F22" s="141"/>
      <c r="G22" s="146"/>
      <c r="H22" s="147"/>
      <c r="I22" s="141">
        <f>SUM(J22:P22)</f>
        <v>34559.2</v>
      </c>
      <c r="J22" s="144">
        <v>34559.2</v>
      </c>
      <c r="K22" s="141"/>
      <c r="L22" s="141"/>
      <c r="M22" s="144"/>
      <c r="N22" s="144"/>
      <c r="O22" s="144"/>
      <c r="P22" s="144"/>
    </row>
    <row r="23" spans="1:16" s="23" customFormat="1" ht="98.25" customHeight="1" hidden="1">
      <c r="A23" s="137">
        <v>6</v>
      </c>
      <c r="B23" s="138" t="s">
        <v>365</v>
      </c>
      <c r="C23" s="139" t="s">
        <v>355</v>
      </c>
      <c r="D23" s="139" t="s">
        <v>357</v>
      </c>
      <c r="E23" s="141">
        <v>5337.4</v>
      </c>
      <c r="F23" s="141">
        <v>5337.4</v>
      </c>
      <c r="G23" s="145" t="s">
        <v>372</v>
      </c>
      <c r="H23" s="145" t="s">
        <v>373</v>
      </c>
      <c r="I23" s="141"/>
      <c r="J23" s="141"/>
      <c r="K23" s="141"/>
      <c r="L23" s="141"/>
      <c r="M23" s="141"/>
      <c r="N23" s="141"/>
      <c r="O23" s="141"/>
      <c r="P23" s="141"/>
    </row>
    <row r="24" spans="1:16" s="25" customFormat="1" ht="28.5" customHeight="1" hidden="1">
      <c r="A24" s="132">
        <v>7</v>
      </c>
      <c r="B24" s="133" t="s">
        <v>371</v>
      </c>
      <c r="C24" s="16"/>
      <c r="D24" s="16"/>
      <c r="E24" s="142"/>
      <c r="F24" s="141"/>
      <c r="G24" s="141"/>
      <c r="H24" s="143"/>
      <c r="I24" s="140">
        <f>SUM(I25:I26)</f>
        <v>5000</v>
      </c>
      <c r="J24" s="140">
        <f aca="true" t="shared" si="1" ref="J24:P24">SUM(J25:J26)</f>
        <v>0</v>
      </c>
      <c r="K24" s="140">
        <f t="shared" si="1"/>
        <v>0</v>
      </c>
      <c r="L24" s="140">
        <f t="shared" si="1"/>
        <v>5000</v>
      </c>
      <c r="M24" s="140">
        <f t="shared" si="1"/>
        <v>0</v>
      </c>
      <c r="N24" s="140">
        <f t="shared" si="1"/>
        <v>0</v>
      </c>
      <c r="O24" s="140">
        <f t="shared" si="1"/>
        <v>0</v>
      </c>
      <c r="P24" s="140">
        <f t="shared" si="1"/>
        <v>0</v>
      </c>
    </row>
    <row r="25" spans="1:16" s="126" customFormat="1" ht="15.75" hidden="1">
      <c r="A25" s="134">
        <v>8</v>
      </c>
      <c r="B25" s="11" t="s">
        <v>600</v>
      </c>
      <c r="C25" s="16"/>
      <c r="D25" s="16"/>
      <c r="E25" s="142"/>
      <c r="F25" s="141"/>
      <c r="G25" s="141"/>
      <c r="H25" s="143"/>
      <c r="I25" s="141">
        <f>SUM(J25:P25)</f>
        <v>5000</v>
      </c>
      <c r="J25" s="144"/>
      <c r="K25" s="141"/>
      <c r="L25" s="141">
        <v>5000</v>
      </c>
      <c r="M25" s="144"/>
      <c r="N25" s="144"/>
      <c r="O25" s="144"/>
      <c r="P25" s="144"/>
    </row>
    <row r="26" spans="1:16" s="126" customFormat="1" ht="15.75" hidden="1">
      <c r="A26" s="134">
        <v>9</v>
      </c>
      <c r="B26" s="11" t="s">
        <v>602</v>
      </c>
      <c r="C26" s="16"/>
      <c r="D26" s="16"/>
      <c r="E26" s="142"/>
      <c r="F26" s="141"/>
      <c r="G26" s="141"/>
      <c r="H26" s="143"/>
      <c r="I26" s="141">
        <f>SUM(J26:P26)</f>
        <v>0</v>
      </c>
      <c r="J26" s="144"/>
      <c r="K26" s="141"/>
      <c r="L26" s="141"/>
      <c r="M26" s="144"/>
      <c r="N26" s="144"/>
      <c r="O26" s="144"/>
      <c r="P26" s="144"/>
    </row>
    <row r="30" ht="12.75">
      <c r="B30" s="131" t="s">
        <v>354</v>
      </c>
    </row>
  </sheetData>
  <sheetProtection/>
  <mergeCells count="19">
    <mergeCell ref="I14:P14"/>
    <mergeCell ref="I15:I16"/>
    <mergeCell ref="E14:F14"/>
    <mergeCell ref="E15:E16"/>
    <mergeCell ref="F15:F16"/>
    <mergeCell ref="A14:A16"/>
    <mergeCell ref="B14:B16"/>
    <mergeCell ref="C14:C16"/>
    <mergeCell ref="G14:H15"/>
    <mergeCell ref="A10:P10"/>
    <mergeCell ref="A11:P11"/>
    <mergeCell ref="D14:D16"/>
    <mergeCell ref="J1:P1"/>
    <mergeCell ref="J2:P2"/>
    <mergeCell ref="J3:P3"/>
    <mergeCell ref="J4:P4"/>
    <mergeCell ref="J5:P5"/>
    <mergeCell ref="J6:P6"/>
    <mergeCell ref="A12:P12"/>
  </mergeCells>
  <printOptions/>
  <pageMargins left="0.5905511811023623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3"/>
  <sheetViews>
    <sheetView view="pageBreakPreview" zoomScale="80" zoomScaleNormal="84" zoomScaleSheetLayoutView="80" zoomScalePageLayoutView="0" workbookViewId="0" topLeftCell="A175">
      <selection activeCell="O202" sqref="O202"/>
    </sheetView>
  </sheetViews>
  <sheetFormatPr defaultColWidth="9.00390625" defaultRowHeight="12.75"/>
  <cols>
    <col min="1" max="1" width="7.00390625" style="169" customWidth="1"/>
    <col min="2" max="2" width="60.875" style="105" customWidth="1"/>
    <col min="3" max="3" width="38.25390625" style="192" customWidth="1"/>
    <col min="4" max="6" width="13.125" style="0" customWidth="1"/>
    <col min="7" max="9" width="13.00390625" style="0" customWidth="1"/>
    <col min="10" max="10" width="14.125" style="0" customWidth="1"/>
    <col min="11" max="11" width="15.25390625" style="0" customWidth="1"/>
    <col min="12" max="12" width="16.125" style="0" customWidth="1"/>
    <col min="13" max="13" width="8.625" style="0" customWidth="1"/>
  </cols>
  <sheetData>
    <row r="1" spans="1:12" s="1" customFormat="1" ht="15">
      <c r="A1" s="169"/>
      <c r="B1" s="2"/>
      <c r="C1" s="177"/>
      <c r="I1" s="248"/>
      <c r="J1" s="248"/>
      <c r="K1" s="248"/>
      <c r="L1" s="248"/>
    </row>
    <row r="2" spans="1:12" s="1" customFormat="1" ht="15">
      <c r="A2" s="169"/>
      <c r="B2" s="81" t="s">
        <v>573</v>
      </c>
      <c r="C2" s="184"/>
      <c r="F2" s="82"/>
      <c r="H2" s="82"/>
      <c r="I2" s="263"/>
      <c r="J2" s="263"/>
      <c r="K2" s="263"/>
      <c r="L2" s="263"/>
    </row>
    <row r="3" spans="1:12" s="1" customFormat="1" ht="15">
      <c r="A3" s="169"/>
      <c r="B3" s="81"/>
      <c r="C3" s="184"/>
      <c r="F3" s="68"/>
      <c r="H3" s="68"/>
      <c r="I3" s="248"/>
      <c r="J3" s="248"/>
      <c r="K3" s="248"/>
      <c r="L3" s="248"/>
    </row>
    <row r="4" spans="1:12" s="1" customFormat="1" ht="15">
      <c r="A4" s="169"/>
      <c r="B4" s="81"/>
      <c r="C4" s="184"/>
      <c r="D4" s="168"/>
      <c r="E4" s="168"/>
      <c r="F4" s="68"/>
      <c r="G4" s="168"/>
      <c r="H4" s="68"/>
      <c r="I4" s="248"/>
      <c r="J4" s="248"/>
      <c r="K4" s="248"/>
      <c r="L4" s="248"/>
    </row>
    <row r="5" spans="1:12" s="1" customFormat="1" ht="15">
      <c r="A5" s="169"/>
      <c r="B5" s="81"/>
      <c r="C5" s="184"/>
      <c r="F5" s="68"/>
      <c r="H5" s="68"/>
      <c r="I5" s="248"/>
      <c r="J5" s="248"/>
      <c r="K5" s="248"/>
      <c r="L5" s="248"/>
    </row>
    <row r="6" spans="1:12" s="1" customFormat="1" ht="15">
      <c r="A6" s="169"/>
      <c r="B6" s="81"/>
      <c r="C6" s="184"/>
      <c r="D6" s="168"/>
      <c r="E6" s="168"/>
      <c r="F6" s="68"/>
      <c r="G6" s="168"/>
      <c r="H6" s="248"/>
      <c r="I6" s="248"/>
      <c r="J6" s="248"/>
      <c r="K6" s="248"/>
      <c r="L6" s="248"/>
    </row>
    <row r="7" spans="1:12" s="1" customFormat="1" ht="15">
      <c r="A7" s="264" t="s">
        <v>413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</row>
    <row r="8" spans="1:12" s="1" customFormat="1" ht="15">
      <c r="A8" s="264" t="s">
        <v>412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s="1" customFormat="1" ht="15">
      <c r="A9" s="264" t="s">
        <v>67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</row>
    <row r="10" spans="1:12" s="1" customFormat="1" ht="1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</row>
    <row r="11" spans="1:12" s="1" customFormat="1" ht="15">
      <c r="A11" s="265" t="s">
        <v>414</v>
      </c>
      <c r="B11" s="266" t="s">
        <v>415</v>
      </c>
      <c r="C11" s="266" t="s">
        <v>416</v>
      </c>
      <c r="D11" s="260" t="s">
        <v>417</v>
      </c>
      <c r="E11" s="260"/>
      <c r="F11" s="260"/>
      <c r="G11" s="267" t="s">
        <v>422</v>
      </c>
      <c r="H11" s="268"/>
      <c r="I11" s="268"/>
      <c r="J11" s="268"/>
      <c r="K11" s="268"/>
      <c r="L11" s="269"/>
    </row>
    <row r="12" spans="1:12" s="3" customFormat="1" ht="27.75" customHeight="1">
      <c r="A12" s="265"/>
      <c r="B12" s="266"/>
      <c r="C12" s="266"/>
      <c r="D12" s="260"/>
      <c r="E12" s="260"/>
      <c r="F12" s="260"/>
      <c r="G12" s="266" t="s">
        <v>423</v>
      </c>
      <c r="H12" s="266"/>
      <c r="I12" s="266"/>
      <c r="J12" s="266" t="s">
        <v>424</v>
      </c>
      <c r="K12" s="266"/>
      <c r="L12" s="266"/>
    </row>
    <row r="13" spans="1:12" s="3" customFormat="1" ht="82.5" customHeight="1">
      <c r="A13" s="265"/>
      <c r="B13" s="266"/>
      <c r="C13" s="266"/>
      <c r="D13" s="193" t="s">
        <v>418</v>
      </c>
      <c r="E13" s="193" t="s">
        <v>419</v>
      </c>
      <c r="F13" s="194" t="s">
        <v>420</v>
      </c>
      <c r="G13" s="193" t="s">
        <v>418</v>
      </c>
      <c r="H13" s="193" t="s">
        <v>419</v>
      </c>
      <c r="I13" s="194" t="s">
        <v>420</v>
      </c>
      <c r="J13" s="193" t="s">
        <v>425</v>
      </c>
      <c r="K13" s="193" t="s">
        <v>426</v>
      </c>
      <c r="L13" s="194" t="s">
        <v>436</v>
      </c>
    </row>
    <row r="14" spans="1:12" s="180" customFormat="1" ht="15.75" customHeight="1">
      <c r="A14" s="178" t="s">
        <v>421</v>
      </c>
      <c r="B14" s="178">
        <v>2</v>
      </c>
      <c r="C14" s="178">
        <v>3</v>
      </c>
      <c r="D14" s="179">
        <v>4</v>
      </c>
      <c r="E14" s="179">
        <v>5</v>
      </c>
      <c r="F14" s="179">
        <v>6</v>
      </c>
      <c r="G14" s="179">
        <v>7</v>
      </c>
      <c r="H14" s="179">
        <v>8</v>
      </c>
      <c r="I14" s="179">
        <v>9</v>
      </c>
      <c r="J14" s="181">
        <v>10</v>
      </c>
      <c r="K14" s="181">
        <v>11</v>
      </c>
      <c r="L14" s="179">
        <v>12</v>
      </c>
    </row>
    <row r="15" spans="1:12" s="23" customFormat="1" ht="30" customHeight="1">
      <c r="A15" s="170">
        <v>1</v>
      </c>
      <c r="B15" s="47" t="s">
        <v>31</v>
      </c>
      <c r="C15" s="185"/>
      <c r="D15" s="112">
        <f aca="true" t="shared" si="0" ref="D15:I15">SUM(D16:D19)</f>
        <v>5149254.718</v>
      </c>
      <c r="E15" s="112">
        <f t="shared" si="0"/>
        <v>5148257.949000001</v>
      </c>
      <c r="F15" s="112">
        <f t="shared" si="0"/>
        <v>-996.7690000000075</v>
      </c>
      <c r="G15" s="112">
        <f>SUM(G16:G19)</f>
        <v>702956.443</v>
      </c>
      <c r="H15" s="112">
        <f t="shared" si="0"/>
        <v>701959.6740000001</v>
      </c>
      <c r="I15" s="112">
        <f t="shared" si="0"/>
        <v>-996.7690000000011</v>
      </c>
      <c r="J15" s="48"/>
      <c r="K15" s="48"/>
      <c r="L15" s="112"/>
    </row>
    <row r="16" spans="1:13" s="25" customFormat="1" ht="15" customHeight="1">
      <c r="A16" s="104">
        <v>2</v>
      </c>
      <c r="B16" s="5" t="s">
        <v>600</v>
      </c>
      <c r="C16" s="182"/>
      <c r="D16" s="111">
        <f aca="true" t="shared" si="1" ref="D16:I19">SUM(D22+D28)</f>
        <v>2225037.161</v>
      </c>
      <c r="E16" s="111">
        <f t="shared" si="1"/>
        <v>2224040.392</v>
      </c>
      <c r="F16" s="111">
        <f t="shared" si="1"/>
        <v>-996.7690000000075</v>
      </c>
      <c r="G16" s="111">
        <f t="shared" si="1"/>
        <v>238025.84300000002</v>
      </c>
      <c r="H16" s="111">
        <f t="shared" si="1"/>
        <v>237029.07400000002</v>
      </c>
      <c r="I16" s="111">
        <f t="shared" si="1"/>
        <v>-996.7690000000011</v>
      </c>
      <c r="J16" s="52"/>
      <c r="K16" s="52"/>
      <c r="L16" s="111"/>
      <c r="M16" s="119"/>
    </row>
    <row r="17" spans="1:13" s="25" customFormat="1" ht="15" customHeight="1">
      <c r="A17" s="104">
        <v>3</v>
      </c>
      <c r="B17" s="5" t="s">
        <v>601</v>
      </c>
      <c r="C17" s="182"/>
      <c r="D17" s="111">
        <f t="shared" si="1"/>
        <v>16399.206</v>
      </c>
      <c r="E17" s="111">
        <f t="shared" si="1"/>
        <v>20310.906</v>
      </c>
      <c r="F17" s="111">
        <f>SUM(F23+F29)</f>
        <v>0</v>
      </c>
      <c r="G17" s="111">
        <f t="shared" si="1"/>
        <v>0</v>
      </c>
      <c r="H17" s="111">
        <f t="shared" si="1"/>
        <v>3911.7</v>
      </c>
      <c r="I17" s="111">
        <f t="shared" si="1"/>
        <v>3911.7</v>
      </c>
      <c r="J17" s="52"/>
      <c r="K17" s="52"/>
      <c r="L17" s="111"/>
      <c r="M17" s="119"/>
    </row>
    <row r="18" spans="1:13" s="25" customFormat="1" ht="15" customHeight="1">
      <c r="A18" s="104">
        <v>4</v>
      </c>
      <c r="B18" s="5" t="s">
        <v>602</v>
      </c>
      <c r="C18" s="182"/>
      <c r="D18" s="111">
        <f t="shared" si="1"/>
        <v>2626120.9510000004</v>
      </c>
      <c r="E18" s="111">
        <f t="shared" si="1"/>
        <v>2622209.251</v>
      </c>
      <c r="F18" s="111">
        <f t="shared" si="1"/>
        <v>0</v>
      </c>
      <c r="G18" s="111">
        <f t="shared" si="1"/>
        <v>423230.6</v>
      </c>
      <c r="H18" s="111">
        <f t="shared" si="1"/>
        <v>419318.9</v>
      </c>
      <c r="I18" s="111">
        <f t="shared" si="1"/>
        <v>-3911.7</v>
      </c>
      <c r="J18" s="52"/>
      <c r="K18" s="52"/>
      <c r="L18" s="111"/>
      <c r="M18" s="119"/>
    </row>
    <row r="19" spans="1:13" s="25" customFormat="1" ht="15" customHeight="1">
      <c r="A19" s="104">
        <v>5</v>
      </c>
      <c r="B19" s="5" t="s">
        <v>603</v>
      </c>
      <c r="C19" s="182"/>
      <c r="D19" s="111">
        <f t="shared" si="1"/>
        <v>281697.4</v>
      </c>
      <c r="E19" s="111">
        <f t="shared" si="1"/>
        <v>281697.4</v>
      </c>
      <c r="F19" s="111">
        <f t="shared" si="1"/>
        <v>0</v>
      </c>
      <c r="G19" s="111">
        <f t="shared" si="1"/>
        <v>41700</v>
      </c>
      <c r="H19" s="111">
        <f t="shared" si="1"/>
        <v>41700</v>
      </c>
      <c r="I19" s="111">
        <f t="shared" si="1"/>
        <v>0</v>
      </c>
      <c r="J19" s="52"/>
      <c r="K19" s="52"/>
      <c r="L19" s="111"/>
      <c r="M19" s="119"/>
    </row>
    <row r="20" spans="1:12" s="25" customFormat="1" ht="15" customHeight="1">
      <c r="A20" s="104"/>
      <c r="B20" s="5"/>
      <c r="C20" s="182"/>
      <c r="D20" s="149"/>
      <c r="E20" s="149"/>
      <c r="F20" s="149"/>
      <c r="G20" s="149"/>
      <c r="H20" s="149"/>
      <c r="I20" s="149"/>
      <c r="J20" s="36"/>
      <c r="K20" s="36"/>
      <c r="L20" s="149"/>
    </row>
    <row r="21" spans="1:12" s="27" customFormat="1" ht="30" customHeight="1">
      <c r="A21" s="171">
        <v>6</v>
      </c>
      <c r="B21" s="49" t="s">
        <v>12</v>
      </c>
      <c r="C21" s="183"/>
      <c r="D21" s="150">
        <f aca="true" t="shared" si="2" ref="D21:I21">SUM(D22:D25)</f>
        <v>150955.855</v>
      </c>
      <c r="E21" s="150">
        <f t="shared" si="2"/>
        <v>150955.855</v>
      </c>
      <c r="F21" s="150">
        <f t="shared" si="2"/>
        <v>0</v>
      </c>
      <c r="G21" s="150">
        <f t="shared" si="2"/>
        <v>10000</v>
      </c>
      <c r="H21" s="150">
        <f t="shared" si="2"/>
        <v>10000</v>
      </c>
      <c r="I21" s="150">
        <f t="shared" si="2"/>
        <v>0</v>
      </c>
      <c r="J21" s="50"/>
      <c r="K21" s="50"/>
      <c r="L21" s="150"/>
    </row>
    <row r="22" spans="1:12" s="25" customFormat="1" ht="15" customHeight="1">
      <c r="A22" s="104">
        <v>7</v>
      </c>
      <c r="B22" s="5" t="s">
        <v>600</v>
      </c>
      <c r="C22" s="182"/>
      <c r="D22" s="116">
        <f aca="true" t="shared" si="3" ref="D22:I22">SUM(D41+D142+D297+D322+D355+D410)</f>
        <v>102844.55500000001</v>
      </c>
      <c r="E22" s="116">
        <f t="shared" si="3"/>
        <v>102844.55500000001</v>
      </c>
      <c r="F22" s="116">
        <f t="shared" si="3"/>
        <v>0</v>
      </c>
      <c r="G22" s="116">
        <f t="shared" si="3"/>
        <v>10000</v>
      </c>
      <c r="H22" s="116">
        <f t="shared" si="3"/>
        <v>10000</v>
      </c>
      <c r="I22" s="116">
        <f t="shared" si="3"/>
        <v>0</v>
      </c>
      <c r="J22" s="15"/>
      <c r="K22" s="15"/>
      <c r="L22" s="116"/>
    </row>
    <row r="23" spans="1:12" s="25" customFormat="1" ht="15" customHeight="1">
      <c r="A23" s="104">
        <v>8</v>
      </c>
      <c r="B23" s="5" t="s">
        <v>601</v>
      </c>
      <c r="C23" s="182"/>
      <c r="D23" s="116">
        <f aca="true" t="shared" si="4" ref="D23:I23">SUM(D42+D356)</f>
        <v>12802.1</v>
      </c>
      <c r="E23" s="116">
        <f t="shared" si="4"/>
        <v>12802.1</v>
      </c>
      <c r="F23" s="116">
        <f t="shared" si="4"/>
        <v>0</v>
      </c>
      <c r="G23" s="116">
        <f t="shared" si="4"/>
        <v>0</v>
      </c>
      <c r="H23" s="116">
        <f t="shared" si="4"/>
        <v>0</v>
      </c>
      <c r="I23" s="116">
        <f t="shared" si="4"/>
        <v>0</v>
      </c>
      <c r="J23" s="15"/>
      <c r="K23" s="15"/>
      <c r="L23" s="116"/>
    </row>
    <row r="24" spans="1:12" s="25" customFormat="1" ht="15" customHeight="1">
      <c r="A24" s="104">
        <v>9</v>
      </c>
      <c r="B24" s="5" t="s">
        <v>602</v>
      </c>
      <c r="C24" s="182"/>
      <c r="D24" s="116">
        <f aca="true" t="shared" si="5" ref="D24:I24">SUM(D43+D293+D357)</f>
        <v>35309.2</v>
      </c>
      <c r="E24" s="116">
        <f t="shared" si="5"/>
        <v>35309.2</v>
      </c>
      <c r="F24" s="116">
        <f t="shared" si="5"/>
        <v>0</v>
      </c>
      <c r="G24" s="116">
        <f t="shared" si="5"/>
        <v>0</v>
      </c>
      <c r="H24" s="116">
        <f t="shared" si="5"/>
        <v>0</v>
      </c>
      <c r="I24" s="116">
        <f t="shared" si="5"/>
        <v>0</v>
      </c>
      <c r="J24" s="15"/>
      <c r="K24" s="15"/>
      <c r="L24" s="116"/>
    </row>
    <row r="25" spans="1:12" s="25" customFormat="1" ht="15" customHeight="1">
      <c r="A25" s="104">
        <v>10</v>
      </c>
      <c r="B25" s="5" t="s">
        <v>603</v>
      </c>
      <c r="C25" s="182"/>
      <c r="D25" s="116">
        <f aca="true" t="shared" si="6" ref="D25:I25">SUM(D44)</f>
        <v>0</v>
      </c>
      <c r="E25" s="116">
        <f t="shared" si="6"/>
        <v>0</v>
      </c>
      <c r="F25" s="116">
        <f t="shared" si="6"/>
        <v>0</v>
      </c>
      <c r="G25" s="116">
        <f t="shared" si="6"/>
        <v>0</v>
      </c>
      <c r="H25" s="116">
        <f t="shared" si="6"/>
        <v>0</v>
      </c>
      <c r="I25" s="116">
        <f t="shared" si="6"/>
        <v>0</v>
      </c>
      <c r="J25" s="15"/>
      <c r="K25" s="15"/>
      <c r="L25" s="116"/>
    </row>
    <row r="26" spans="1:12" s="25" customFormat="1" ht="15" customHeight="1">
      <c r="A26" s="104"/>
      <c r="B26" s="5"/>
      <c r="C26" s="182"/>
      <c r="D26" s="149"/>
      <c r="E26" s="149"/>
      <c r="F26" s="149"/>
      <c r="G26" s="149"/>
      <c r="H26" s="149"/>
      <c r="I26" s="149"/>
      <c r="J26" s="36"/>
      <c r="K26" s="36"/>
      <c r="L26" s="149"/>
    </row>
    <row r="27" spans="1:12" s="27" customFormat="1" ht="30" customHeight="1">
      <c r="A27" s="171">
        <v>11</v>
      </c>
      <c r="B27" s="49" t="s">
        <v>68</v>
      </c>
      <c r="C27" s="183"/>
      <c r="D27" s="150">
        <f aca="true" t="shared" si="7" ref="D27:I27">SUM(D28:D31)</f>
        <v>4998298.863</v>
      </c>
      <c r="E27" s="150">
        <f t="shared" si="7"/>
        <v>4997302.0940000005</v>
      </c>
      <c r="F27" s="150">
        <f t="shared" si="7"/>
        <v>-996.7690000000075</v>
      </c>
      <c r="G27" s="150">
        <f t="shared" si="7"/>
        <v>692956.443</v>
      </c>
      <c r="H27" s="150">
        <f t="shared" si="7"/>
        <v>691959.6740000001</v>
      </c>
      <c r="I27" s="150">
        <f t="shared" si="7"/>
        <v>-996.7690000000011</v>
      </c>
      <c r="J27" s="50"/>
      <c r="K27" s="50"/>
      <c r="L27" s="150"/>
    </row>
    <row r="28" spans="1:12" s="25" customFormat="1" ht="15" customHeight="1">
      <c r="A28" s="104">
        <v>12</v>
      </c>
      <c r="B28" s="5" t="s">
        <v>600</v>
      </c>
      <c r="C28" s="182"/>
      <c r="D28" s="116">
        <f aca="true" t="shared" si="8" ref="D28:I28">SUM(D67+D174+D306+D328+D373+D416)</f>
        <v>2122192.6059999997</v>
      </c>
      <c r="E28" s="116">
        <f t="shared" si="8"/>
        <v>2121195.837</v>
      </c>
      <c r="F28" s="116">
        <f t="shared" si="8"/>
        <v>-996.7690000000075</v>
      </c>
      <c r="G28" s="116">
        <f t="shared" si="8"/>
        <v>228025.84300000002</v>
      </c>
      <c r="H28" s="116">
        <f t="shared" si="8"/>
        <v>227029.07400000002</v>
      </c>
      <c r="I28" s="116">
        <f t="shared" si="8"/>
        <v>-996.7690000000011</v>
      </c>
      <c r="J28" s="15"/>
      <c r="K28" s="15"/>
      <c r="L28" s="116"/>
    </row>
    <row r="29" spans="1:12" s="25" customFormat="1" ht="15" customHeight="1">
      <c r="A29" s="104">
        <v>13</v>
      </c>
      <c r="B29" s="5" t="s">
        <v>601</v>
      </c>
      <c r="C29" s="182"/>
      <c r="D29" s="116">
        <f aca="true" t="shared" si="9" ref="D29:I29">SUM(D68+D175+D329+D417)</f>
        <v>3597.1059999999998</v>
      </c>
      <c r="E29" s="116">
        <f t="shared" si="9"/>
        <v>7508.806</v>
      </c>
      <c r="F29" s="116">
        <f t="shared" si="9"/>
        <v>0</v>
      </c>
      <c r="G29" s="116">
        <f t="shared" si="9"/>
        <v>0</v>
      </c>
      <c r="H29" s="116">
        <f t="shared" si="9"/>
        <v>3911.7</v>
      </c>
      <c r="I29" s="116">
        <f t="shared" si="9"/>
        <v>3911.7</v>
      </c>
      <c r="J29" s="15"/>
      <c r="K29" s="15"/>
      <c r="L29" s="116"/>
    </row>
    <row r="30" spans="1:13" s="25" customFormat="1" ht="15" customHeight="1">
      <c r="A30" s="104">
        <v>14</v>
      </c>
      <c r="B30" s="5" t="s">
        <v>602</v>
      </c>
      <c r="C30" s="182"/>
      <c r="D30" s="116">
        <f aca="true" t="shared" si="10" ref="D30:I30">SUM(D69+D176+D288+D330+D421)</f>
        <v>2590811.751</v>
      </c>
      <c r="E30" s="116">
        <f t="shared" si="10"/>
        <v>2586900.051</v>
      </c>
      <c r="F30" s="116">
        <f t="shared" si="10"/>
        <v>0</v>
      </c>
      <c r="G30" s="116">
        <f t="shared" si="10"/>
        <v>423230.6</v>
      </c>
      <c r="H30" s="15">
        <f t="shared" si="10"/>
        <v>419318.9</v>
      </c>
      <c r="I30" s="116">
        <f t="shared" si="10"/>
        <v>-3911.7</v>
      </c>
      <c r="J30" s="15"/>
      <c r="K30" s="15"/>
      <c r="L30" s="116"/>
      <c r="M30" s="88"/>
    </row>
    <row r="31" spans="1:12" s="25" customFormat="1" ht="15" customHeight="1">
      <c r="A31" s="104">
        <v>15</v>
      </c>
      <c r="B31" s="5" t="s">
        <v>603</v>
      </c>
      <c r="C31" s="182"/>
      <c r="D31" s="116">
        <f aca="true" t="shared" si="11" ref="D31:I31">SUM(D70+D177)</f>
        <v>281697.4</v>
      </c>
      <c r="E31" s="116">
        <f t="shared" si="11"/>
        <v>281697.4</v>
      </c>
      <c r="F31" s="116">
        <f t="shared" si="11"/>
        <v>0</v>
      </c>
      <c r="G31" s="116">
        <f t="shared" si="11"/>
        <v>41700</v>
      </c>
      <c r="H31" s="116">
        <f t="shared" si="11"/>
        <v>41700</v>
      </c>
      <c r="I31" s="116">
        <f t="shared" si="11"/>
        <v>0</v>
      </c>
      <c r="J31" s="15"/>
      <c r="K31" s="15"/>
      <c r="L31" s="116"/>
    </row>
    <row r="32" spans="1:12" s="25" customFormat="1" ht="15" customHeight="1">
      <c r="A32" s="104"/>
      <c r="B32" s="24"/>
      <c r="C32" s="151"/>
      <c r="D32" s="151"/>
      <c r="E32" s="151"/>
      <c r="F32" s="151"/>
      <c r="G32" s="151"/>
      <c r="H32" s="151"/>
      <c r="I32" s="151"/>
      <c r="J32" s="26"/>
      <c r="K32" s="26"/>
      <c r="L32" s="151"/>
    </row>
    <row r="33" spans="1:12" s="7" customFormat="1" ht="15" customHeight="1" hidden="1">
      <c r="A33" s="172"/>
      <c r="B33" s="230" t="s">
        <v>593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</row>
    <row r="34" spans="1:12" s="39" customFormat="1" ht="33" customHeight="1" hidden="1">
      <c r="A34" s="103">
        <v>16</v>
      </c>
      <c r="B34" s="43" t="s">
        <v>1</v>
      </c>
      <c r="C34" s="186"/>
      <c r="D34" s="115">
        <f aca="true" t="shared" si="12" ref="D34:I34">SUM(D35:D38)</f>
        <v>2046426.8909999998</v>
      </c>
      <c r="E34" s="115">
        <f t="shared" si="12"/>
        <v>2046426.8909999998</v>
      </c>
      <c r="F34" s="115">
        <f t="shared" si="12"/>
        <v>0</v>
      </c>
      <c r="G34" s="115">
        <f t="shared" si="12"/>
        <v>268895.537</v>
      </c>
      <c r="H34" s="115">
        <f t="shared" si="12"/>
        <v>268895.537</v>
      </c>
      <c r="I34" s="115">
        <f t="shared" si="12"/>
        <v>0</v>
      </c>
      <c r="J34" s="16"/>
      <c r="K34" s="16"/>
      <c r="L34" s="115"/>
    </row>
    <row r="35" spans="1:12" s="8" customFormat="1" ht="15" customHeight="1" hidden="1">
      <c r="A35" s="103">
        <v>17</v>
      </c>
      <c r="B35" s="10" t="s">
        <v>600</v>
      </c>
      <c r="C35" s="186"/>
      <c r="D35" s="116">
        <f aca="true" t="shared" si="13" ref="D35:I35">SUM(D41+D67)</f>
        <v>840570.791</v>
      </c>
      <c r="E35" s="116">
        <f t="shared" si="13"/>
        <v>840570.791</v>
      </c>
      <c r="F35" s="111">
        <f t="shared" si="13"/>
        <v>0</v>
      </c>
      <c r="G35" s="116">
        <f t="shared" si="13"/>
        <v>79206.737</v>
      </c>
      <c r="H35" s="111">
        <f t="shared" si="13"/>
        <v>79206.737</v>
      </c>
      <c r="I35" s="111">
        <f t="shared" si="13"/>
        <v>0</v>
      </c>
      <c r="J35" s="15"/>
      <c r="K35" s="15"/>
      <c r="L35" s="111"/>
    </row>
    <row r="36" spans="1:12" s="8" customFormat="1" ht="15" customHeight="1" hidden="1">
      <c r="A36" s="103">
        <v>18</v>
      </c>
      <c r="B36" s="10" t="s">
        <v>601</v>
      </c>
      <c r="C36" s="186"/>
      <c r="D36" s="111">
        <f aca="true" t="shared" si="14" ref="D36:I36">SUM(D42)</f>
        <v>12802.1</v>
      </c>
      <c r="E36" s="111">
        <f t="shared" si="14"/>
        <v>12802.1</v>
      </c>
      <c r="F36" s="116">
        <f t="shared" si="14"/>
        <v>0</v>
      </c>
      <c r="G36" s="111">
        <f t="shared" si="14"/>
        <v>0</v>
      </c>
      <c r="H36" s="116">
        <f t="shared" si="14"/>
        <v>0</v>
      </c>
      <c r="I36" s="116">
        <f t="shared" si="14"/>
        <v>0</v>
      </c>
      <c r="J36" s="15"/>
      <c r="K36" s="15"/>
      <c r="L36" s="116"/>
    </row>
    <row r="37" spans="1:12" s="8" customFormat="1" ht="15" customHeight="1" hidden="1">
      <c r="A37" s="103">
        <v>19</v>
      </c>
      <c r="B37" s="10" t="s">
        <v>602</v>
      </c>
      <c r="C37" s="186"/>
      <c r="D37" s="116">
        <f aca="true" t="shared" si="15" ref="D37:I37">SUM(D43+D69)</f>
        <v>924054</v>
      </c>
      <c r="E37" s="116">
        <f t="shared" si="15"/>
        <v>924054</v>
      </c>
      <c r="F37" s="116">
        <f t="shared" si="15"/>
        <v>0</v>
      </c>
      <c r="G37" s="116">
        <f t="shared" si="15"/>
        <v>149688.8</v>
      </c>
      <c r="H37" s="116">
        <f t="shared" si="15"/>
        <v>149688.8</v>
      </c>
      <c r="I37" s="116">
        <f t="shared" si="15"/>
        <v>0</v>
      </c>
      <c r="J37" s="15"/>
      <c r="K37" s="15"/>
      <c r="L37" s="116"/>
    </row>
    <row r="38" spans="1:12" s="8" customFormat="1" ht="15" customHeight="1" hidden="1">
      <c r="A38" s="103">
        <v>20</v>
      </c>
      <c r="B38" s="10" t="s">
        <v>603</v>
      </c>
      <c r="C38" s="186"/>
      <c r="D38" s="116">
        <f aca="true" t="shared" si="16" ref="D38:I38">SUM(D70)</f>
        <v>269000</v>
      </c>
      <c r="E38" s="116">
        <f t="shared" si="16"/>
        <v>269000</v>
      </c>
      <c r="F38" s="116">
        <f t="shared" si="16"/>
        <v>0</v>
      </c>
      <c r="G38" s="116">
        <f t="shared" si="16"/>
        <v>40000</v>
      </c>
      <c r="H38" s="116">
        <f t="shared" si="16"/>
        <v>40000</v>
      </c>
      <c r="I38" s="116">
        <f t="shared" si="16"/>
        <v>0</v>
      </c>
      <c r="J38" s="15"/>
      <c r="K38" s="15"/>
      <c r="L38" s="116"/>
    </row>
    <row r="39" spans="1:12" s="8" customFormat="1" ht="15" customHeight="1" hidden="1">
      <c r="A39" s="173"/>
      <c r="B39" s="224" t="s">
        <v>604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</row>
    <row r="40" spans="1:13" s="39" customFormat="1" ht="35.25" customHeight="1" hidden="1">
      <c r="A40" s="103"/>
      <c r="B40" s="43" t="s">
        <v>427</v>
      </c>
      <c r="C40" s="186"/>
      <c r="D40" s="115">
        <f aca="true" t="shared" si="17" ref="D40:I40">SUM(D41:D44)</f>
        <v>49099.123</v>
      </c>
      <c r="E40" s="115">
        <f t="shared" si="17"/>
        <v>49099.123</v>
      </c>
      <c r="F40" s="115">
        <f t="shared" si="17"/>
        <v>0</v>
      </c>
      <c r="G40" s="115">
        <f t="shared" si="17"/>
        <v>0</v>
      </c>
      <c r="H40" s="115">
        <f t="shared" si="17"/>
        <v>0</v>
      </c>
      <c r="I40" s="115">
        <f t="shared" si="17"/>
        <v>0</v>
      </c>
      <c r="J40" s="16"/>
      <c r="K40" s="16"/>
      <c r="L40" s="115"/>
      <c r="M40" s="113"/>
    </row>
    <row r="41" spans="1:12" s="8" customFormat="1" ht="15" customHeight="1" hidden="1">
      <c r="A41" s="103"/>
      <c r="B41" s="10" t="s">
        <v>600</v>
      </c>
      <c r="C41" s="186"/>
      <c r="D41" s="116">
        <f aca="true" t="shared" si="18" ref="D41:I41">SUM(D47+D60)</f>
        <v>1737.823</v>
      </c>
      <c r="E41" s="116">
        <f t="shared" si="18"/>
        <v>1737.823</v>
      </c>
      <c r="F41" s="116">
        <f t="shared" si="18"/>
        <v>0</v>
      </c>
      <c r="G41" s="116">
        <f t="shared" si="18"/>
        <v>0</v>
      </c>
      <c r="H41" s="116">
        <f t="shared" si="18"/>
        <v>0</v>
      </c>
      <c r="I41" s="116">
        <f t="shared" si="18"/>
        <v>0</v>
      </c>
      <c r="J41" s="15"/>
      <c r="K41" s="15"/>
      <c r="L41" s="116"/>
    </row>
    <row r="42" spans="1:12" s="8" customFormat="1" ht="15" customHeight="1" hidden="1">
      <c r="A42" s="103"/>
      <c r="B42" s="10" t="s">
        <v>601</v>
      </c>
      <c r="C42" s="186"/>
      <c r="D42" s="111">
        <f aca="true" t="shared" si="19" ref="D42:I42">SUM(D48)</f>
        <v>12802.1</v>
      </c>
      <c r="E42" s="111">
        <f t="shared" si="19"/>
        <v>12802.1</v>
      </c>
      <c r="F42" s="116">
        <f t="shared" si="19"/>
        <v>0</v>
      </c>
      <c r="G42" s="111">
        <f t="shared" si="19"/>
        <v>0</v>
      </c>
      <c r="H42" s="116">
        <f t="shared" si="19"/>
        <v>0</v>
      </c>
      <c r="I42" s="116">
        <f t="shared" si="19"/>
        <v>0</v>
      </c>
      <c r="J42" s="15"/>
      <c r="K42" s="15"/>
      <c r="L42" s="116"/>
    </row>
    <row r="43" spans="1:12" s="8" customFormat="1" ht="15" customHeight="1" hidden="1">
      <c r="A43" s="103"/>
      <c r="B43" s="10" t="s">
        <v>602</v>
      </c>
      <c r="C43" s="186"/>
      <c r="D43" s="116">
        <f aca="true" t="shared" si="20" ref="D43:I43">SUM(D49+D62)</f>
        <v>34559.2</v>
      </c>
      <c r="E43" s="116">
        <f t="shared" si="20"/>
        <v>34559.2</v>
      </c>
      <c r="F43" s="116">
        <f t="shared" si="20"/>
        <v>0</v>
      </c>
      <c r="G43" s="116">
        <f t="shared" si="20"/>
        <v>0</v>
      </c>
      <c r="H43" s="116">
        <f t="shared" si="20"/>
        <v>0</v>
      </c>
      <c r="I43" s="116">
        <f t="shared" si="20"/>
        <v>0</v>
      </c>
      <c r="J43" s="15"/>
      <c r="K43" s="15"/>
      <c r="L43" s="116"/>
    </row>
    <row r="44" spans="1:12" s="8" customFormat="1" ht="15" customHeight="1" hidden="1">
      <c r="A44" s="103"/>
      <c r="B44" s="10" t="s">
        <v>603</v>
      </c>
      <c r="C44" s="186"/>
      <c r="D44" s="116"/>
      <c r="E44" s="116"/>
      <c r="F44" s="116"/>
      <c r="G44" s="116"/>
      <c r="H44" s="116"/>
      <c r="I44" s="116"/>
      <c r="J44" s="15"/>
      <c r="K44" s="15"/>
      <c r="L44" s="116"/>
    </row>
    <row r="45" spans="1:12" s="8" customFormat="1" ht="15" customHeight="1" hidden="1">
      <c r="A45" s="174"/>
      <c r="B45" s="233" t="s">
        <v>605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</row>
    <row r="46" spans="1:12" s="39" customFormat="1" ht="51" customHeight="1" hidden="1">
      <c r="A46" s="103"/>
      <c r="B46" s="43" t="s">
        <v>277</v>
      </c>
      <c r="C46" s="186"/>
      <c r="D46" s="97">
        <f aca="true" t="shared" si="21" ref="D46:I46">SUM(D47:D50)</f>
        <v>49099.123</v>
      </c>
      <c r="E46" s="97">
        <f t="shared" si="21"/>
        <v>49099.123</v>
      </c>
      <c r="F46" s="97">
        <f t="shared" si="21"/>
        <v>0</v>
      </c>
      <c r="G46" s="97">
        <f t="shared" si="21"/>
        <v>0</v>
      </c>
      <c r="H46" s="97">
        <f t="shared" si="21"/>
        <v>0</v>
      </c>
      <c r="I46" s="97">
        <f t="shared" si="21"/>
        <v>0</v>
      </c>
      <c r="J46" s="18"/>
      <c r="K46" s="18"/>
      <c r="L46" s="97"/>
    </row>
    <row r="47" spans="1:12" s="8" customFormat="1" ht="15" customHeight="1" hidden="1">
      <c r="A47" s="103"/>
      <c r="B47" s="10" t="s">
        <v>600</v>
      </c>
      <c r="C47" s="186"/>
      <c r="D47" s="152">
        <f aca="true" t="shared" si="22" ref="D47:E49">SUM(D53)</f>
        <v>1737.823</v>
      </c>
      <c r="E47" s="152">
        <f t="shared" si="22"/>
        <v>1737.823</v>
      </c>
      <c r="F47" s="116">
        <f>D47-E47</f>
        <v>0</v>
      </c>
      <c r="G47" s="152"/>
      <c r="H47" s="152"/>
      <c r="I47" s="116">
        <f>G47-H47</f>
        <v>0</v>
      </c>
      <c r="J47" s="17"/>
      <c r="K47" s="17"/>
      <c r="L47" s="116"/>
    </row>
    <row r="48" spans="1:12" s="8" customFormat="1" ht="15" customHeight="1" hidden="1">
      <c r="A48" s="103"/>
      <c r="B48" s="10" t="s">
        <v>601</v>
      </c>
      <c r="C48" s="186"/>
      <c r="D48" s="152">
        <f t="shared" si="22"/>
        <v>12802.1</v>
      </c>
      <c r="E48" s="152">
        <f t="shared" si="22"/>
        <v>12802.1</v>
      </c>
      <c r="F48" s="116">
        <f>D48-E48</f>
        <v>0</v>
      </c>
      <c r="G48" s="152"/>
      <c r="H48" s="152"/>
      <c r="I48" s="116">
        <f>G48-H48</f>
        <v>0</v>
      </c>
      <c r="J48" s="17"/>
      <c r="K48" s="17"/>
      <c r="L48" s="116"/>
    </row>
    <row r="49" spans="1:12" s="8" customFormat="1" ht="15" customHeight="1" hidden="1">
      <c r="A49" s="103"/>
      <c r="B49" s="10" t="s">
        <v>602</v>
      </c>
      <c r="C49" s="186"/>
      <c r="D49" s="152">
        <f t="shared" si="22"/>
        <v>34559.2</v>
      </c>
      <c r="E49" s="152">
        <f t="shared" si="22"/>
        <v>34559.2</v>
      </c>
      <c r="F49" s="116">
        <f>D49-E49</f>
        <v>0</v>
      </c>
      <c r="G49" s="152"/>
      <c r="H49" s="152"/>
      <c r="I49" s="116">
        <f>G49-H49</f>
        <v>0</v>
      </c>
      <c r="J49" s="17"/>
      <c r="K49" s="17"/>
      <c r="L49" s="116"/>
    </row>
    <row r="50" spans="1:12" s="8" customFormat="1" ht="15" customHeight="1" hidden="1">
      <c r="A50" s="103"/>
      <c r="B50" s="10" t="s">
        <v>603</v>
      </c>
      <c r="C50" s="186"/>
      <c r="D50" s="111">
        <v>0</v>
      </c>
      <c r="E50" s="111">
        <v>0</v>
      </c>
      <c r="F50" s="116">
        <f>D50-E50</f>
        <v>0</v>
      </c>
      <c r="G50" s="111"/>
      <c r="H50" s="116"/>
      <c r="I50" s="116">
        <f>G50-H50</f>
        <v>0</v>
      </c>
      <c r="J50" s="15"/>
      <c r="K50" s="15"/>
      <c r="L50" s="116"/>
    </row>
    <row r="51" spans="1:12" s="8" customFormat="1" ht="15" customHeight="1" hidden="1">
      <c r="A51" s="103"/>
      <c r="B51" s="10"/>
      <c r="C51" s="186"/>
      <c r="D51" s="158"/>
      <c r="E51" s="158"/>
      <c r="F51" s="152"/>
      <c r="G51" s="158"/>
      <c r="H51" s="152"/>
      <c r="I51" s="152"/>
      <c r="J51" s="17"/>
      <c r="K51" s="17"/>
      <c r="L51" s="152"/>
    </row>
    <row r="52" spans="1:12" s="8" customFormat="1" ht="111" customHeight="1" hidden="1">
      <c r="A52" s="103"/>
      <c r="B52" s="43" t="s">
        <v>281</v>
      </c>
      <c r="C52" s="195" t="s">
        <v>428</v>
      </c>
      <c r="D52" s="97">
        <f aca="true" t="shared" si="23" ref="D52:I52">SUM(D53:D56)</f>
        <v>49099.123</v>
      </c>
      <c r="E52" s="97">
        <f t="shared" si="23"/>
        <v>49099.123</v>
      </c>
      <c r="F52" s="97">
        <f t="shared" si="23"/>
        <v>0</v>
      </c>
      <c r="G52" s="97">
        <f t="shared" si="23"/>
        <v>0</v>
      </c>
      <c r="H52" s="97">
        <f t="shared" si="23"/>
        <v>0</v>
      </c>
      <c r="I52" s="97">
        <f t="shared" si="23"/>
        <v>0</v>
      </c>
      <c r="J52" s="18"/>
      <c r="K52" s="18"/>
      <c r="L52" s="97"/>
    </row>
    <row r="53" spans="1:12" s="8" customFormat="1" ht="15" customHeight="1" hidden="1">
      <c r="A53" s="103"/>
      <c r="B53" s="10" t="s">
        <v>600</v>
      </c>
      <c r="C53" s="186" t="s">
        <v>354</v>
      </c>
      <c r="D53" s="116">
        <v>1737.823</v>
      </c>
      <c r="E53" s="116">
        <v>1737.823</v>
      </c>
      <c r="F53" s="116">
        <f>E53-D53</f>
        <v>0</v>
      </c>
      <c r="G53" s="111"/>
      <c r="H53" s="116"/>
      <c r="I53" s="116">
        <f>H53-G53</f>
        <v>0</v>
      </c>
      <c r="J53" s="15"/>
      <c r="K53" s="15"/>
      <c r="L53" s="116"/>
    </row>
    <row r="54" spans="1:12" s="8" customFormat="1" ht="15" customHeight="1" hidden="1">
      <c r="A54" s="103"/>
      <c r="B54" s="10" t="s">
        <v>601</v>
      </c>
      <c r="C54" s="186"/>
      <c r="D54" s="116">
        <v>12802.1</v>
      </c>
      <c r="E54" s="116">
        <v>12802.1</v>
      </c>
      <c r="F54" s="116">
        <f>E54-D54</f>
        <v>0</v>
      </c>
      <c r="G54" s="111"/>
      <c r="H54" s="116"/>
      <c r="I54" s="116">
        <f>H54-G54</f>
        <v>0</v>
      </c>
      <c r="J54" s="15"/>
      <c r="K54" s="15"/>
      <c r="L54" s="116"/>
    </row>
    <row r="55" spans="1:12" s="8" customFormat="1" ht="15" customHeight="1" hidden="1">
      <c r="A55" s="103"/>
      <c r="B55" s="10" t="s">
        <v>602</v>
      </c>
      <c r="C55" s="186"/>
      <c r="D55" s="116">
        <v>34559.2</v>
      </c>
      <c r="E55" s="116">
        <v>34559.2</v>
      </c>
      <c r="F55" s="116">
        <f>E55-D55</f>
        <v>0</v>
      </c>
      <c r="G55" s="111"/>
      <c r="H55" s="116"/>
      <c r="I55" s="116">
        <f>H55-G55</f>
        <v>0</v>
      </c>
      <c r="J55" s="15"/>
      <c r="K55" s="15"/>
      <c r="L55" s="116"/>
    </row>
    <row r="56" spans="1:12" s="8" customFormat="1" ht="15" customHeight="1" hidden="1">
      <c r="A56" s="103"/>
      <c r="B56" s="10" t="s">
        <v>603</v>
      </c>
      <c r="C56" s="186"/>
      <c r="D56" s="116">
        <v>0</v>
      </c>
      <c r="E56" s="116">
        <v>0</v>
      </c>
      <c r="F56" s="116">
        <f>E56-D56</f>
        <v>0</v>
      </c>
      <c r="G56" s="111"/>
      <c r="H56" s="116"/>
      <c r="I56" s="116">
        <f>H56-G56</f>
        <v>0</v>
      </c>
      <c r="J56" s="15"/>
      <c r="K56" s="15"/>
      <c r="L56" s="116"/>
    </row>
    <row r="57" spans="1:12" s="8" customFormat="1" ht="15" customHeight="1" hidden="1">
      <c r="A57" s="103"/>
      <c r="B57" s="10"/>
      <c r="C57" s="186"/>
      <c r="D57" s="111"/>
      <c r="E57" s="111"/>
      <c r="F57" s="152"/>
      <c r="G57" s="111"/>
      <c r="H57" s="152"/>
      <c r="I57" s="152"/>
      <c r="J57" s="17"/>
      <c r="K57" s="17"/>
      <c r="L57" s="152"/>
    </row>
    <row r="58" spans="1:12" s="8" customFormat="1" ht="15" customHeight="1" hidden="1">
      <c r="A58" s="174"/>
      <c r="B58" s="233" t="s">
        <v>10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4"/>
    </row>
    <row r="59" spans="1:12" s="41" customFormat="1" ht="31.5" hidden="1">
      <c r="A59" s="99"/>
      <c r="B59" s="46" t="s">
        <v>278</v>
      </c>
      <c r="C59" s="187"/>
      <c r="D59" s="114">
        <f>SUM(D61:D63)</f>
        <v>0</v>
      </c>
      <c r="E59" s="114">
        <f>SUM(E61:E63)</f>
        <v>0</v>
      </c>
      <c r="F59" s="114">
        <f>SUM(F60:F63)</f>
        <v>0</v>
      </c>
      <c r="G59" s="114">
        <f>SUM(G61:G63)</f>
        <v>0</v>
      </c>
      <c r="H59" s="114">
        <f>SUM(H60:H63)</f>
        <v>0</v>
      </c>
      <c r="I59" s="114">
        <f>SUM(I60:I63)</f>
        <v>0</v>
      </c>
      <c r="J59" s="35"/>
      <c r="K59" s="35"/>
      <c r="L59" s="114"/>
    </row>
    <row r="60" spans="1:12" s="14" customFormat="1" ht="15" customHeight="1" hidden="1">
      <c r="A60" s="99"/>
      <c r="B60" s="10" t="s">
        <v>600</v>
      </c>
      <c r="C60" s="187"/>
      <c r="D60" s="121"/>
      <c r="E60" s="121"/>
      <c r="F60" s="116">
        <f>D60-E60</f>
        <v>0</v>
      </c>
      <c r="G60" s="121"/>
      <c r="H60" s="121"/>
      <c r="I60" s="116">
        <f>G60-H60</f>
        <v>0</v>
      </c>
      <c r="J60" s="29"/>
      <c r="K60" s="29"/>
      <c r="L60" s="116"/>
    </row>
    <row r="61" spans="1:12" s="31" customFormat="1" ht="15" customHeight="1" hidden="1">
      <c r="A61" s="99"/>
      <c r="B61" s="10" t="s">
        <v>601</v>
      </c>
      <c r="C61" s="187"/>
      <c r="D61" s="95"/>
      <c r="E61" s="95"/>
      <c r="F61" s="116">
        <f>D61-E61</f>
        <v>0</v>
      </c>
      <c r="G61" s="95"/>
      <c r="H61" s="153"/>
      <c r="I61" s="116">
        <f>G61-H61</f>
        <v>0</v>
      </c>
      <c r="J61" s="30"/>
      <c r="K61" s="30"/>
      <c r="L61" s="116"/>
    </row>
    <row r="62" spans="1:12" s="14" customFormat="1" ht="15" customHeight="1" hidden="1">
      <c r="A62" s="99"/>
      <c r="B62" s="10" t="s">
        <v>602</v>
      </c>
      <c r="C62" s="187"/>
      <c r="D62" s="121"/>
      <c r="E62" s="121"/>
      <c r="F62" s="116">
        <f>D62-E62</f>
        <v>0</v>
      </c>
      <c r="G62" s="121"/>
      <c r="H62" s="121"/>
      <c r="I62" s="116">
        <f>G62-H62</f>
        <v>0</v>
      </c>
      <c r="J62" s="29"/>
      <c r="K62" s="29"/>
      <c r="L62" s="116"/>
    </row>
    <row r="63" spans="1:12" s="14" customFormat="1" ht="15" customHeight="1" hidden="1">
      <c r="A63" s="99"/>
      <c r="B63" s="10" t="s">
        <v>603</v>
      </c>
      <c r="C63" s="187"/>
      <c r="D63" s="121"/>
      <c r="E63" s="121"/>
      <c r="F63" s="116">
        <f>D63-E63</f>
        <v>0</v>
      </c>
      <c r="G63" s="121"/>
      <c r="H63" s="121"/>
      <c r="I63" s="116">
        <f>G63-H63</f>
        <v>0</v>
      </c>
      <c r="J63" s="29"/>
      <c r="K63" s="29"/>
      <c r="L63" s="116"/>
    </row>
    <row r="64" spans="1:12" s="14" customFormat="1" ht="15" customHeight="1" hidden="1">
      <c r="A64" s="102"/>
      <c r="B64" s="10"/>
      <c r="C64" s="188"/>
      <c r="D64" s="121"/>
      <c r="E64" s="121"/>
      <c r="F64" s="121"/>
      <c r="G64" s="121"/>
      <c r="H64" s="121"/>
      <c r="I64" s="121"/>
      <c r="J64" s="29"/>
      <c r="K64" s="29"/>
      <c r="L64" s="121"/>
    </row>
    <row r="65" spans="1:12" s="8" customFormat="1" ht="15" customHeight="1" hidden="1">
      <c r="A65" s="173"/>
      <c r="B65" s="224" t="s">
        <v>2</v>
      </c>
      <c r="C65" s="225"/>
      <c r="D65" s="225"/>
      <c r="E65" s="225"/>
      <c r="F65" s="225"/>
      <c r="G65" s="225"/>
      <c r="H65" s="225"/>
      <c r="I65" s="225"/>
      <c r="J65" s="225"/>
      <c r="K65" s="225"/>
      <c r="L65" s="225"/>
    </row>
    <row r="66" spans="1:12" s="39" customFormat="1" ht="36" customHeight="1" hidden="1">
      <c r="A66" s="103"/>
      <c r="B66" s="43" t="s">
        <v>3</v>
      </c>
      <c r="C66" s="186"/>
      <c r="D66" s="97">
        <f aca="true" t="shared" si="24" ref="D66:I66">SUM(D67:D70)</f>
        <v>1997327.7680000002</v>
      </c>
      <c r="E66" s="97">
        <f t="shared" si="24"/>
        <v>1997327.7680000002</v>
      </c>
      <c r="F66" s="97">
        <f t="shared" si="24"/>
        <v>0</v>
      </c>
      <c r="G66" s="97">
        <f t="shared" si="24"/>
        <v>268895.537</v>
      </c>
      <c r="H66" s="97">
        <f t="shared" si="24"/>
        <v>268895.537</v>
      </c>
      <c r="I66" s="97">
        <f t="shared" si="24"/>
        <v>0</v>
      </c>
      <c r="J66" s="18"/>
      <c r="K66" s="18"/>
      <c r="L66" s="97"/>
    </row>
    <row r="67" spans="1:12" s="8" customFormat="1" ht="15" customHeight="1" hidden="1">
      <c r="A67" s="103"/>
      <c r="B67" s="10" t="s">
        <v>600</v>
      </c>
      <c r="C67" s="186"/>
      <c r="D67" s="95">
        <f aca="true" t="shared" si="25" ref="D67:I67">SUM(D73+D83+D109+D114+D117)</f>
        <v>838832.968</v>
      </c>
      <c r="E67" s="95">
        <f t="shared" si="25"/>
        <v>838832.968</v>
      </c>
      <c r="F67" s="95">
        <f t="shared" si="25"/>
        <v>0</v>
      </c>
      <c r="G67" s="95">
        <f t="shared" si="25"/>
        <v>79206.737</v>
      </c>
      <c r="H67" s="95">
        <f t="shared" si="25"/>
        <v>79206.737</v>
      </c>
      <c r="I67" s="95">
        <f t="shared" si="25"/>
        <v>0</v>
      </c>
      <c r="J67" s="34"/>
      <c r="K67" s="34"/>
      <c r="L67" s="95"/>
    </row>
    <row r="68" spans="1:12" s="8" customFormat="1" ht="15" customHeight="1" hidden="1">
      <c r="A68" s="103"/>
      <c r="B68" s="10" t="s">
        <v>601</v>
      </c>
      <c r="C68" s="186"/>
      <c r="D68" s="95"/>
      <c r="E68" s="95"/>
      <c r="F68" s="117"/>
      <c r="G68" s="95"/>
      <c r="H68" s="117"/>
      <c r="I68" s="117"/>
      <c r="J68" s="22"/>
      <c r="K68" s="22"/>
      <c r="L68" s="117"/>
    </row>
    <row r="69" spans="1:12" s="8" customFormat="1" ht="15" customHeight="1" hidden="1">
      <c r="A69" s="103"/>
      <c r="B69" s="10" t="s">
        <v>602</v>
      </c>
      <c r="C69" s="186"/>
      <c r="D69" s="118">
        <f aca="true" t="shared" si="26" ref="D69:I69">SUM(D84+D106+D110+D118)</f>
        <v>889494.8</v>
      </c>
      <c r="E69" s="118">
        <f t="shared" si="26"/>
        <v>889494.8</v>
      </c>
      <c r="F69" s="118">
        <f t="shared" si="26"/>
        <v>0</v>
      </c>
      <c r="G69" s="118">
        <f t="shared" si="26"/>
        <v>149688.8</v>
      </c>
      <c r="H69" s="118">
        <f t="shared" si="26"/>
        <v>149688.8</v>
      </c>
      <c r="I69" s="118">
        <f t="shared" si="26"/>
        <v>0</v>
      </c>
      <c r="J69" s="21"/>
      <c r="K69" s="21"/>
      <c r="L69" s="118"/>
    </row>
    <row r="70" spans="1:12" s="8" customFormat="1" ht="15" customHeight="1" hidden="1">
      <c r="A70" s="103"/>
      <c r="B70" s="12" t="s">
        <v>603</v>
      </c>
      <c r="C70" s="186"/>
      <c r="D70" s="95">
        <f aca="true" t="shared" si="27" ref="D70:I70">SUM(D111)</f>
        <v>269000</v>
      </c>
      <c r="E70" s="95">
        <f t="shared" si="27"/>
        <v>269000</v>
      </c>
      <c r="F70" s="117">
        <f t="shared" si="27"/>
        <v>0</v>
      </c>
      <c r="G70" s="95">
        <f t="shared" si="27"/>
        <v>40000</v>
      </c>
      <c r="H70" s="117">
        <f t="shared" si="27"/>
        <v>40000</v>
      </c>
      <c r="I70" s="117">
        <f t="shared" si="27"/>
        <v>0</v>
      </c>
      <c r="J70" s="22"/>
      <c r="K70" s="22"/>
      <c r="L70" s="117"/>
    </row>
    <row r="71" spans="1:12" s="8" customFormat="1" ht="15" customHeight="1" hidden="1">
      <c r="A71" s="103"/>
      <c r="B71" s="12"/>
      <c r="C71" s="186"/>
      <c r="D71" s="96"/>
      <c r="E71" s="96"/>
      <c r="F71" s="118"/>
      <c r="G71" s="96"/>
      <c r="H71" s="118"/>
      <c r="I71" s="118"/>
      <c r="J71" s="21"/>
      <c r="K71" s="21"/>
      <c r="L71" s="118"/>
    </row>
    <row r="72" spans="1:12" s="41" customFormat="1" ht="83.25" customHeight="1" hidden="1">
      <c r="A72" s="99"/>
      <c r="B72" s="46" t="s">
        <v>282</v>
      </c>
      <c r="C72" s="196" t="s">
        <v>429</v>
      </c>
      <c r="D72" s="120">
        <f aca="true" t="shared" si="28" ref="D72:I72">SUM(D75:D80)</f>
        <v>10250</v>
      </c>
      <c r="E72" s="120">
        <f t="shared" si="28"/>
        <v>10250</v>
      </c>
      <c r="F72" s="120">
        <f t="shared" si="28"/>
        <v>0</v>
      </c>
      <c r="G72" s="120">
        <f t="shared" si="28"/>
        <v>0</v>
      </c>
      <c r="H72" s="120">
        <f t="shared" si="28"/>
        <v>0</v>
      </c>
      <c r="I72" s="120">
        <f t="shared" si="28"/>
        <v>0</v>
      </c>
      <c r="J72" s="40"/>
      <c r="K72" s="40"/>
      <c r="L72" s="120"/>
    </row>
    <row r="73" spans="1:12" s="14" customFormat="1" ht="15" customHeight="1" hidden="1">
      <c r="A73" s="99"/>
      <c r="B73" s="28" t="s">
        <v>600</v>
      </c>
      <c r="C73" s="187"/>
      <c r="D73" s="111">
        <f aca="true" t="shared" si="29" ref="D73:I73">SUM(D75:D80)</f>
        <v>10250</v>
      </c>
      <c r="E73" s="111">
        <f t="shared" si="29"/>
        <v>10250</v>
      </c>
      <c r="F73" s="121">
        <f t="shared" si="29"/>
        <v>0</v>
      </c>
      <c r="G73" s="111">
        <f t="shared" si="29"/>
        <v>0</v>
      </c>
      <c r="H73" s="121">
        <f t="shared" si="29"/>
        <v>0</v>
      </c>
      <c r="I73" s="121">
        <f t="shared" si="29"/>
        <v>0</v>
      </c>
      <c r="J73" s="29"/>
      <c r="K73" s="29"/>
      <c r="L73" s="121"/>
    </row>
    <row r="74" spans="1:12" s="31" customFormat="1" ht="15" customHeight="1" hidden="1">
      <c r="A74" s="99"/>
      <c r="B74" s="32" t="s">
        <v>6</v>
      </c>
      <c r="C74" s="189"/>
      <c r="D74" s="153"/>
      <c r="E74" s="153"/>
      <c r="F74" s="153"/>
      <c r="G74" s="153"/>
      <c r="H74" s="153"/>
      <c r="I74" s="153"/>
      <c r="J74" s="30"/>
      <c r="K74" s="30"/>
      <c r="L74" s="153"/>
    </row>
    <row r="75" spans="1:12" s="14" customFormat="1" ht="15" customHeight="1" hidden="1">
      <c r="A75" s="99"/>
      <c r="B75" s="32" t="s">
        <v>13</v>
      </c>
      <c r="C75" s="187"/>
      <c r="D75" s="111">
        <v>2000</v>
      </c>
      <c r="E75" s="111">
        <v>2000</v>
      </c>
      <c r="F75" s="116">
        <f aca="true" t="shared" si="30" ref="F75:F80">E75-D75</f>
        <v>0</v>
      </c>
      <c r="G75" s="111"/>
      <c r="H75" s="121"/>
      <c r="I75" s="116">
        <f aca="true" t="shared" si="31" ref="I75:I80">H75-G75</f>
        <v>0</v>
      </c>
      <c r="J75" s="29"/>
      <c r="K75" s="29"/>
      <c r="L75" s="116"/>
    </row>
    <row r="76" spans="1:12" s="14" customFormat="1" ht="15" customHeight="1" hidden="1">
      <c r="A76" s="99"/>
      <c r="B76" s="32" t="s">
        <v>69</v>
      </c>
      <c r="C76" s="187"/>
      <c r="D76" s="111">
        <v>2000</v>
      </c>
      <c r="E76" s="111">
        <v>2000</v>
      </c>
      <c r="F76" s="116">
        <f t="shared" si="30"/>
        <v>0</v>
      </c>
      <c r="G76" s="111"/>
      <c r="H76" s="121"/>
      <c r="I76" s="116">
        <f t="shared" si="31"/>
        <v>0</v>
      </c>
      <c r="J76" s="29"/>
      <c r="K76" s="29"/>
      <c r="L76" s="116"/>
    </row>
    <row r="77" spans="1:12" s="14" customFormat="1" ht="15" customHeight="1" hidden="1">
      <c r="A77" s="99"/>
      <c r="B77" s="32" t="s">
        <v>70</v>
      </c>
      <c r="C77" s="187"/>
      <c r="D77" s="111">
        <v>2000</v>
      </c>
      <c r="E77" s="111">
        <v>2000</v>
      </c>
      <c r="F77" s="116">
        <f t="shared" si="30"/>
        <v>0</v>
      </c>
      <c r="G77" s="111"/>
      <c r="H77" s="121"/>
      <c r="I77" s="116">
        <f t="shared" si="31"/>
        <v>0</v>
      </c>
      <c r="J77" s="29"/>
      <c r="K77" s="29"/>
      <c r="L77" s="116"/>
    </row>
    <row r="78" spans="1:12" s="14" customFormat="1" ht="15" customHeight="1" hidden="1">
      <c r="A78" s="99"/>
      <c r="B78" s="32" t="s">
        <v>71</v>
      </c>
      <c r="C78" s="187"/>
      <c r="D78" s="111">
        <v>2000</v>
      </c>
      <c r="E78" s="111">
        <v>2000</v>
      </c>
      <c r="F78" s="116">
        <f t="shared" si="30"/>
        <v>0</v>
      </c>
      <c r="G78" s="111"/>
      <c r="H78" s="121"/>
      <c r="I78" s="116">
        <f t="shared" si="31"/>
        <v>0</v>
      </c>
      <c r="J78" s="29"/>
      <c r="K78" s="29"/>
      <c r="L78" s="116"/>
    </row>
    <row r="79" spans="1:12" s="14" customFormat="1" ht="15" customHeight="1" hidden="1">
      <c r="A79" s="99"/>
      <c r="B79" s="32" t="s">
        <v>59</v>
      </c>
      <c r="C79" s="187"/>
      <c r="D79" s="111">
        <v>2000</v>
      </c>
      <c r="E79" s="111">
        <v>2000</v>
      </c>
      <c r="F79" s="116">
        <f t="shared" si="30"/>
        <v>0</v>
      </c>
      <c r="G79" s="111"/>
      <c r="H79" s="121"/>
      <c r="I79" s="116">
        <f t="shared" si="31"/>
        <v>0</v>
      </c>
      <c r="J79" s="29"/>
      <c r="K79" s="29"/>
      <c r="L79" s="116"/>
    </row>
    <row r="80" spans="1:12" s="8" customFormat="1" ht="15" customHeight="1" hidden="1">
      <c r="A80" s="104"/>
      <c r="B80" s="87" t="s">
        <v>58</v>
      </c>
      <c r="C80" s="182"/>
      <c r="D80" s="116">
        <v>250</v>
      </c>
      <c r="E80" s="116">
        <v>250</v>
      </c>
      <c r="F80" s="116">
        <f t="shared" si="30"/>
        <v>0</v>
      </c>
      <c r="G80" s="116"/>
      <c r="H80" s="116"/>
      <c r="I80" s="116">
        <f t="shared" si="31"/>
        <v>0</v>
      </c>
      <c r="J80" s="15"/>
      <c r="K80" s="15"/>
      <c r="L80" s="116"/>
    </row>
    <row r="81" spans="1:12" s="8" customFormat="1" ht="15" customHeight="1" hidden="1">
      <c r="A81" s="103"/>
      <c r="B81" s="87"/>
      <c r="C81" s="186"/>
      <c r="D81" s="152"/>
      <c r="E81" s="152"/>
      <c r="F81" s="152"/>
      <c r="G81" s="152"/>
      <c r="H81" s="152"/>
      <c r="I81" s="152"/>
      <c r="J81" s="17"/>
      <c r="K81" s="17"/>
      <c r="L81" s="152"/>
    </row>
    <row r="82" spans="1:12" s="39" customFormat="1" ht="187.5" customHeight="1" hidden="1">
      <c r="A82" s="103"/>
      <c r="B82" s="43" t="s">
        <v>283</v>
      </c>
      <c r="C82" s="195" t="s">
        <v>445</v>
      </c>
      <c r="D82" s="97">
        <f aca="true" t="shared" si="32" ref="D82:I82">SUM(D83:D84)</f>
        <v>27285.479</v>
      </c>
      <c r="E82" s="97">
        <f t="shared" si="32"/>
        <v>27285.479</v>
      </c>
      <c r="F82" s="97">
        <f t="shared" si="32"/>
        <v>0</v>
      </c>
      <c r="G82" s="120">
        <f t="shared" si="32"/>
        <v>100</v>
      </c>
      <c r="H82" s="120">
        <f t="shared" si="32"/>
        <v>100</v>
      </c>
      <c r="I82" s="120">
        <f t="shared" si="32"/>
        <v>0</v>
      </c>
      <c r="J82" s="214" t="s">
        <v>438</v>
      </c>
      <c r="K82" s="214" t="s">
        <v>438</v>
      </c>
      <c r="L82" s="214" t="s">
        <v>437</v>
      </c>
    </row>
    <row r="83" spans="1:12" s="8" customFormat="1" ht="15" customHeight="1" hidden="1">
      <c r="A83" s="103"/>
      <c r="B83" s="10" t="s">
        <v>600</v>
      </c>
      <c r="C83" s="186"/>
      <c r="D83" s="152">
        <f>SUM(D86+D87+D88+D89+D90+D91+D92+D93+D94+D96+D97+D98+D99+D100+D101+D102+D103)</f>
        <v>27285.479</v>
      </c>
      <c r="E83" s="152">
        <f>SUM(E86+E87+E88+E89+E90+E91+E92+E93+E94+E96+E97+E98+E99+E100+E101+E102+E103)</f>
        <v>27285.479</v>
      </c>
      <c r="F83" s="152">
        <f>SUM(F86+F87+F88+F89+F90+F91+F92+F93+F94+F96+F97+F99+F100+F101+F102+F103)</f>
        <v>0</v>
      </c>
      <c r="G83" s="158">
        <f>SUM(G86+G87+G88+G89+G90+G91+G92+G93+G94+G96+G97+G99+G100+G101+G102+G103)</f>
        <v>100</v>
      </c>
      <c r="H83" s="158">
        <f>SUM(H86+H87+H88+H89+H90+H91+H92+H93+H94+H96+H97+H99+H100+H101+H102+H103)</f>
        <v>100</v>
      </c>
      <c r="I83" s="158">
        <f>SUM(I86+I87+I88+I89+I90+I91+I92+I93+I94+I96+I97+I98+I99+I100+I101+I102+I103)</f>
        <v>0</v>
      </c>
      <c r="J83" s="215"/>
      <c r="K83" s="215"/>
      <c r="L83" s="158"/>
    </row>
    <row r="84" spans="1:12" s="8" customFormat="1" ht="15" customHeight="1" hidden="1">
      <c r="A84" s="103"/>
      <c r="B84" s="10" t="s">
        <v>602</v>
      </c>
      <c r="C84" s="186"/>
      <c r="D84" s="152"/>
      <c r="E84" s="152"/>
      <c r="F84" s="152"/>
      <c r="G84" s="158"/>
      <c r="H84" s="158"/>
      <c r="I84" s="158"/>
      <c r="J84" s="215"/>
      <c r="K84" s="215"/>
      <c r="L84" s="158"/>
    </row>
    <row r="85" spans="1:12" s="13" customFormat="1" ht="15.75" hidden="1">
      <c r="A85" s="100"/>
      <c r="B85" s="10" t="s">
        <v>7</v>
      </c>
      <c r="C85" s="190"/>
      <c r="D85" s="154"/>
      <c r="E85" s="154"/>
      <c r="F85" s="154"/>
      <c r="G85" s="153"/>
      <c r="H85" s="153"/>
      <c r="I85" s="153"/>
      <c r="J85" s="30"/>
      <c r="K85" s="30"/>
      <c r="L85" s="153"/>
    </row>
    <row r="86" spans="1:12" s="8" customFormat="1" ht="15.75" hidden="1">
      <c r="A86" s="103"/>
      <c r="B86" s="10" t="s">
        <v>72</v>
      </c>
      <c r="C86" s="187"/>
      <c r="D86" s="111">
        <v>5000</v>
      </c>
      <c r="E86" s="111">
        <v>5000</v>
      </c>
      <c r="F86" s="116">
        <f aca="true" t="shared" si="33" ref="F86:F94">E86-D86</f>
        <v>0</v>
      </c>
      <c r="G86" s="111"/>
      <c r="H86" s="121"/>
      <c r="I86" s="111">
        <f aca="true" t="shared" si="34" ref="I86:I94">H86-G86</f>
        <v>0</v>
      </c>
      <c r="J86" s="29"/>
      <c r="K86" s="29"/>
      <c r="L86" s="111"/>
    </row>
    <row r="87" spans="1:12" s="8" customFormat="1" ht="15.75" hidden="1">
      <c r="A87" s="103"/>
      <c r="B87" s="10" t="s">
        <v>14</v>
      </c>
      <c r="C87" s="187"/>
      <c r="D87" s="111">
        <v>2144</v>
      </c>
      <c r="E87" s="111">
        <v>2144</v>
      </c>
      <c r="F87" s="116">
        <f t="shared" si="33"/>
        <v>0</v>
      </c>
      <c r="G87" s="111"/>
      <c r="H87" s="121"/>
      <c r="I87" s="111">
        <f t="shared" si="34"/>
        <v>0</v>
      </c>
      <c r="J87" s="29"/>
      <c r="K87" s="29"/>
      <c r="L87" s="111"/>
    </row>
    <row r="88" spans="1:12" s="8" customFormat="1" ht="15" customHeight="1" hidden="1">
      <c r="A88" s="103"/>
      <c r="B88" s="10" t="s">
        <v>73</v>
      </c>
      <c r="C88" s="187"/>
      <c r="D88" s="111">
        <v>5000</v>
      </c>
      <c r="E88" s="111">
        <f>8260-3260</f>
        <v>5000</v>
      </c>
      <c r="F88" s="116">
        <f t="shared" si="33"/>
        <v>0</v>
      </c>
      <c r="G88" s="111"/>
      <c r="H88" s="121"/>
      <c r="I88" s="111">
        <f t="shared" si="34"/>
        <v>0</v>
      </c>
      <c r="J88" s="29"/>
      <c r="K88" s="29"/>
      <c r="L88" s="111"/>
    </row>
    <row r="89" spans="1:12" s="8" customFormat="1" ht="15" customHeight="1" hidden="1">
      <c r="A89" s="103"/>
      <c r="B89" s="90" t="s">
        <v>382</v>
      </c>
      <c r="C89" s="187"/>
      <c r="D89" s="111">
        <v>1000</v>
      </c>
      <c r="E89" s="111">
        <v>1000</v>
      </c>
      <c r="F89" s="116">
        <f t="shared" si="33"/>
        <v>0</v>
      </c>
      <c r="G89" s="111">
        <v>100</v>
      </c>
      <c r="H89" s="121">
        <v>100</v>
      </c>
      <c r="I89" s="111">
        <f t="shared" si="34"/>
        <v>0</v>
      </c>
      <c r="J89" s="29"/>
      <c r="K89" s="29"/>
      <c r="L89" s="111"/>
    </row>
    <row r="90" spans="1:12" s="8" customFormat="1" ht="15" customHeight="1" hidden="1">
      <c r="A90" s="103"/>
      <c r="B90" s="10" t="s">
        <v>74</v>
      </c>
      <c r="C90" s="187"/>
      <c r="D90" s="111">
        <v>2441.479</v>
      </c>
      <c r="E90" s="111">
        <v>2441.479</v>
      </c>
      <c r="F90" s="116">
        <f t="shared" si="33"/>
        <v>0</v>
      </c>
      <c r="G90" s="111"/>
      <c r="H90" s="121"/>
      <c r="I90" s="111">
        <f t="shared" si="34"/>
        <v>0</v>
      </c>
      <c r="J90" s="29"/>
      <c r="K90" s="29"/>
      <c r="L90" s="111"/>
    </row>
    <row r="91" spans="1:12" s="8" customFormat="1" ht="15" customHeight="1" hidden="1">
      <c r="A91" s="103"/>
      <c r="B91" s="10" t="s">
        <v>75</v>
      </c>
      <c r="C91" s="187"/>
      <c r="D91" s="111">
        <v>1000</v>
      </c>
      <c r="E91" s="111">
        <v>1000</v>
      </c>
      <c r="F91" s="116">
        <f t="shared" si="33"/>
        <v>0</v>
      </c>
      <c r="G91" s="111"/>
      <c r="H91" s="121"/>
      <c r="I91" s="111">
        <f t="shared" si="34"/>
        <v>0</v>
      </c>
      <c r="J91" s="29"/>
      <c r="K91" s="29"/>
      <c r="L91" s="111"/>
    </row>
    <row r="92" spans="1:12" s="8" customFormat="1" ht="15" customHeight="1" hidden="1">
      <c r="A92" s="103"/>
      <c r="B92" s="10" t="s">
        <v>76</v>
      </c>
      <c r="C92" s="187"/>
      <c r="D92" s="111">
        <v>2000</v>
      </c>
      <c r="E92" s="111">
        <v>2000</v>
      </c>
      <c r="F92" s="116">
        <f t="shared" si="33"/>
        <v>0</v>
      </c>
      <c r="G92" s="111"/>
      <c r="H92" s="121"/>
      <c r="I92" s="111">
        <f t="shared" si="34"/>
        <v>0</v>
      </c>
      <c r="J92" s="29"/>
      <c r="K92" s="29"/>
      <c r="L92" s="111"/>
    </row>
    <row r="93" spans="1:12" s="8" customFormat="1" ht="15" customHeight="1" hidden="1">
      <c r="A93" s="103"/>
      <c r="B93" s="10" t="s">
        <v>77</v>
      </c>
      <c r="C93" s="187"/>
      <c r="D93" s="111">
        <v>3500</v>
      </c>
      <c r="E93" s="111">
        <v>3500</v>
      </c>
      <c r="F93" s="116">
        <f t="shared" si="33"/>
        <v>0</v>
      </c>
      <c r="G93" s="111"/>
      <c r="H93" s="121"/>
      <c r="I93" s="111">
        <f t="shared" si="34"/>
        <v>0</v>
      </c>
      <c r="J93" s="29"/>
      <c r="K93" s="29"/>
      <c r="L93" s="111"/>
    </row>
    <row r="94" spans="1:12" s="8" customFormat="1" ht="15" customHeight="1" hidden="1">
      <c r="A94" s="103"/>
      <c r="B94" s="10" t="s">
        <v>497</v>
      </c>
      <c r="C94" s="187"/>
      <c r="D94" s="111">
        <v>2850</v>
      </c>
      <c r="E94" s="111">
        <v>2850</v>
      </c>
      <c r="F94" s="116">
        <f t="shared" si="33"/>
        <v>0</v>
      </c>
      <c r="G94" s="111"/>
      <c r="H94" s="121"/>
      <c r="I94" s="111">
        <f t="shared" si="34"/>
        <v>0</v>
      </c>
      <c r="J94" s="29"/>
      <c r="K94" s="29"/>
      <c r="L94" s="111"/>
    </row>
    <row r="95" spans="1:12" s="8" customFormat="1" ht="35.25" customHeight="1" hidden="1">
      <c r="A95" s="103"/>
      <c r="B95" s="10" t="s">
        <v>55</v>
      </c>
      <c r="C95" s="187"/>
      <c r="D95" s="111"/>
      <c r="E95" s="111"/>
      <c r="F95" s="121"/>
      <c r="G95" s="111"/>
      <c r="H95" s="121"/>
      <c r="I95" s="121"/>
      <c r="J95" s="29"/>
      <c r="K95" s="29"/>
      <c r="L95" s="121"/>
    </row>
    <row r="96" spans="1:12" s="8" customFormat="1" ht="15" customHeight="1" hidden="1">
      <c r="A96" s="103"/>
      <c r="B96" s="12" t="s">
        <v>383</v>
      </c>
      <c r="C96" s="187"/>
      <c r="D96" s="111">
        <v>250</v>
      </c>
      <c r="E96" s="111">
        <v>250</v>
      </c>
      <c r="F96" s="116">
        <f aca="true" t="shared" si="35" ref="F96:F102">E96-D96</f>
        <v>0</v>
      </c>
      <c r="G96" s="111"/>
      <c r="H96" s="121"/>
      <c r="I96" s="111">
        <f aca="true" t="shared" si="36" ref="I96:I102">H96-G96</f>
        <v>0</v>
      </c>
      <c r="J96" s="29"/>
      <c r="K96" s="29"/>
      <c r="L96" s="111"/>
    </row>
    <row r="97" spans="1:12" s="8" customFormat="1" ht="15" customHeight="1" hidden="1">
      <c r="A97" s="103"/>
      <c r="B97" s="12" t="s">
        <v>59</v>
      </c>
      <c r="C97" s="187"/>
      <c r="D97" s="111">
        <v>300</v>
      </c>
      <c r="E97" s="111">
        <v>300</v>
      </c>
      <c r="F97" s="116">
        <f t="shared" si="35"/>
        <v>0</v>
      </c>
      <c r="G97" s="111"/>
      <c r="H97" s="121"/>
      <c r="I97" s="111">
        <f t="shared" si="36"/>
        <v>0</v>
      </c>
      <c r="J97" s="29"/>
      <c r="K97" s="29"/>
      <c r="L97" s="111"/>
    </row>
    <row r="98" spans="1:12" s="8" customFormat="1" ht="15" customHeight="1" hidden="1">
      <c r="A98" s="103"/>
      <c r="B98" s="12" t="s">
        <v>501</v>
      </c>
      <c r="C98" s="187"/>
      <c r="D98" s="111">
        <v>300</v>
      </c>
      <c r="E98" s="111">
        <v>300</v>
      </c>
      <c r="F98" s="116">
        <f t="shared" si="35"/>
        <v>0</v>
      </c>
      <c r="G98" s="111"/>
      <c r="H98" s="121"/>
      <c r="I98" s="111"/>
      <c r="J98" s="29"/>
      <c r="K98" s="29"/>
      <c r="L98" s="111"/>
    </row>
    <row r="99" spans="1:12" s="8" customFormat="1" ht="15" customHeight="1" hidden="1">
      <c r="A99" s="103"/>
      <c r="B99" s="12" t="s">
        <v>384</v>
      </c>
      <c r="C99" s="187"/>
      <c r="D99" s="111">
        <v>100</v>
      </c>
      <c r="E99" s="111">
        <v>100</v>
      </c>
      <c r="F99" s="116">
        <f t="shared" si="35"/>
        <v>0</v>
      </c>
      <c r="G99" s="111"/>
      <c r="H99" s="121"/>
      <c r="I99" s="111">
        <f t="shared" si="36"/>
        <v>0</v>
      </c>
      <c r="J99" s="29"/>
      <c r="K99" s="29"/>
      <c r="L99" s="111"/>
    </row>
    <row r="100" spans="1:12" s="8" customFormat="1" ht="15" customHeight="1" hidden="1">
      <c r="A100" s="103"/>
      <c r="B100" s="12" t="s">
        <v>79</v>
      </c>
      <c r="C100" s="187"/>
      <c r="D100" s="111">
        <v>400</v>
      </c>
      <c r="E100" s="111">
        <v>400</v>
      </c>
      <c r="F100" s="116">
        <f t="shared" si="35"/>
        <v>0</v>
      </c>
      <c r="G100" s="111"/>
      <c r="H100" s="121"/>
      <c r="I100" s="111">
        <f t="shared" si="36"/>
        <v>0</v>
      </c>
      <c r="J100" s="29"/>
      <c r="K100" s="29"/>
      <c r="L100" s="111"/>
    </row>
    <row r="101" spans="1:12" s="8" customFormat="1" ht="15" customHeight="1" hidden="1">
      <c r="A101" s="103"/>
      <c r="B101" s="12" t="s">
        <v>70</v>
      </c>
      <c r="C101" s="187"/>
      <c r="D101" s="111">
        <v>500</v>
      </c>
      <c r="E101" s="111">
        <v>500</v>
      </c>
      <c r="F101" s="116">
        <f t="shared" si="35"/>
        <v>0</v>
      </c>
      <c r="G101" s="111"/>
      <c r="H101" s="121"/>
      <c r="I101" s="111">
        <f t="shared" si="36"/>
        <v>0</v>
      </c>
      <c r="J101" s="29"/>
      <c r="K101" s="29"/>
      <c r="L101" s="111"/>
    </row>
    <row r="102" spans="1:12" s="8" customFormat="1" ht="15" customHeight="1" hidden="1">
      <c r="A102" s="103"/>
      <c r="B102" s="12" t="s">
        <v>502</v>
      </c>
      <c r="C102" s="187"/>
      <c r="D102" s="111">
        <v>500</v>
      </c>
      <c r="E102" s="111">
        <v>500</v>
      </c>
      <c r="F102" s="116">
        <f t="shared" si="35"/>
        <v>0</v>
      </c>
      <c r="G102" s="111"/>
      <c r="H102" s="121"/>
      <c r="I102" s="111">
        <f t="shared" si="36"/>
        <v>0</v>
      </c>
      <c r="J102" s="29"/>
      <c r="K102" s="29"/>
      <c r="L102" s="111"/>
    </row>
    <row r="103" spans="1:12" s="8" customFormat="1" ht="15" customHeight="1" hidden="1">
      <c r="A103" s="103"/>
      <c r="B103" s="12"/>
      <c r="C103" s="187"/>
      <c r="D103" s="111"/>
      <c r="E103" s="111"/>
      <c r="F103" s="116"/>
      <c r="G103" s="111"/>
      <c r="H103" s="121"/>
      <c r="I103" s="111"/>
      <c r="J103" s="29"/>
      <c r="K103" s="29"/>
      <c r="L103" s="111"/>
    </row>
    <row r="104" spans="1:12" s="8" customFormat="1" ht="15" customHeight="1" hidden="1">
      <c r="A104" s="103"/>
      <c r="B104" s="10"/>
      <c r="C104" s="186"/>
      <c r="D104" s="116"/>
      <c r="E104" s="116"/>
      <c r="F104" s="117"/>
      <c r="G104" s="111"/>
      <c r="H104" s="95"/>
      <c r="I104" s="95"/>
      <c r="J104" s="34"/>
      <c r="K104" s="34"/>
      <c r="L104" s="95"/>
    </row>
    <row r="105" spans="1:12" s="39" customFormat="1" ht="181.5" customHeight="1" hidden="1">
      <c r="A105" s="103"/>
      <c r="B105" s="37" t="s">
        <v>284</v>
      </c>
      <c r="C105" s="197" t="s">
        <v>475</v>
      </c>
      <c r="D105" s="115">
        <f aca="true" t="shared" si="37" ref="D105:I105">SUM(D106)</f>
        <v>862278.8</v>
      </c>
      <c r="E105" s="115">
        <f t="shared" si="37"/>
        <v>862278.8</v>
      </c>
      <c r="F105" s="115">
        <f t="shared" si="37"/>
        <v>0</v>
      </c>
      <c r="G105" s="114">
        <f t="shared" si="37"/>
        <v>149688.8</v>
      </c>
      <c r="H105" s="114">
        <f t="shared" si="37"/>
        <v>149688.8</v>
      </c>
      <c r="I105" s="114">
        <f t="shared" si="37"/>
        <v>0</v>
      </c>
      <c r="J105" s="214" t="s">
        <v>439</v>
      </c>
      <c r="K105" s="214" t="s">
        <v>525</v>
      </c>
      <c r="L105" s="214" t="s">
        <v>440</v>
      </c>
    </row>
    <row r="106" spans="1:12" s="8" customFormat="1" ht="15" customHeight="1" hidden="1">
      <c r="A106" s="103"/>
      <c r="B106" s="10" t="s">
        <v>602</v>
      </c>
      <c r="C106" s="186"/>
      <c r="D106" s="111">
        <v>862278.8</v>
      </c>
      <c r="E106" s="111">
        <f>863504-1225.2</f>
        <v>862278.8</v>
      </c>
      <c r="F106" s="116">
        <f>E106-D106</f>
        <v>0</v>
      </c>
      <c r="G106" s="111">
        <v>149688.8</v>
      </c>
      <c r="H106" s="95">
        <v>149688.8</v>
      </c>
      <c r="I106" s="116"/>
      <c r="J106" s="34"/>
      <c r="K106" s="34"/>
      <c r="L106" s="116"/>
    </row>
    <row r="107" spans="1:12" s="8" customFormat="1" ht="15" customHeight="1" hidden="1">
      <c r="A107" s="103"/>
      <c r="B107" s="89"/>
      <c r="C107" s="186"/>
      <c r="D107" s="111"/>
      <c r="E107" s="111"/>
      <c r="F107" s="95"/>
      <c r="G107" s="111"/>
      <c r="H107" s="95"/>
      <c r="I107" s="95"/>
      <c r="J107" s="34"/>
      <c r="K107" s="34"/>
      <c r="L107" s="95"/>
    </row>
    <row r="108" spans="1:12" s="39" customFormat="1" ht="189.75" customHeight="1" hidden="1">
      <c r="A108" s="104"/>
      <c r="B108" s="38" t="s">
        <v>285</v>
      </c>
      <c r="C108" s="197" t="s">
        <v>444</v>
      </c>
      <c r="D108" s="115">
        <f aca="true" t="shared" si="38" ref="D108:I108">SUM(D109:D111)</f>
        <v>1044189.032</v>
      </c>
      <c r="E108" s="115">
        <f t="shared" si="38"/>
        <v>1044189.032</v>
      </c>
      <c r="F108" s="115">
        <f t="shared" si="38"/>
        <v>0</v>
      </c>
      <c r="G108" s="114">
        <f t="shared" si="38"/>
        <v>119106.737</v>
      </c>
      <c r="H108" s="114">
        <f t="shared" si="38"/>
        <v>119106.737</v>
      </c>
      <c r="I108" s="114">
        <f t="shared" si="38"/>
        <v>0</v>
      </c>
      <c r="J108" s="214" t="s">
        <v>439</v>
      </c>
      <c r="K108" s="214" t="s">
        <v>439</v>
      </c>
      <c r="L108" s="214" t="s">
        <v>440</v>
      </c>
    </row>
    <row r="109" spans="1:13" s="8" customFormat="1" ht="15" customHeight="1" hidden="1">
      <c r="A109" s="103"/>
      <c r="B109" s="10" t="s">
        <v>600</v>
      </c>
      <c r="C109" s="186"/>
      <c r="D109" s="111">
        <v>773873.032</v>
      </c>
      <c r="E109" s="111">
        <f>773495.01+178.022+200</f>
        <v>773873.032</v>
      </c>
      <c r="F109" s="116">
        <f>E109-D109</f>
        <v>0</v>
      </c>
      <c r="G109" s="111">
        <v>79106.737</v>
      </c>
      <c r="H109" s="111">
        <v>79106.737</v>
      </c>
      <c r="I109" s="116"/>
      <c r="J109" s="34"/>
      <c r="K109" s="34"/>
      <c r="L109" s="116"/>
      <c r="M109" s="66"/>
    </row>
    <row r="110" spans="1:13" s="8" customFormat="1" ht="15" customHeight="1" hidden="1">
      <c r="A110" s="103"/>
      <c r="B110" s="12" t="s">
        <v>602</v>
      </c>
      <c r="C110" s="186"/>
      <c r="D110" s="111">
        <v>1316</v>
      </c>
      <c r="E110" s="111">
        <v>1316</v>
      </c>
      <c r="F110" s="95"/>
      <c r="G110" s="111"/>
      <c r="H110" s="111"/>
      <c r="I110" s="95"/>
      <c r="J110" s="34"/>
      <c r="K110" s="34"/>
      <c r="L110" s="95"/>
      <c r="M110" s="66"/>
    </row>
    <row r="111" spans="1:12" s="8" customFormat="1" ht="15" customHeight="1" hidden="1">
      <c r="A111" s="103"/>
      <c r="B111" s="10" t="s">
        <v>603</v>
      </c>
      <c r="C111" s="186"/>
      <c r="D111" s="111">
        <v>269000</v>
      </c>
      <c r="E111" s="111">
        <v>269000</v>
      </c>
      <c r="F111" s="116">
        <f>E111-D111</f>
        <v>0</v>
      </c>
      <c r="G111" s="111">
        <v>40000</v>
      </c>
      <c r="H111" s="111">
        <v>40000</v>
      </c>
      <c r="I111" s="116"/>
      <c r="J111" s="34"/>
      <c r="K111" s="34"/>
      <c r="L111" s="116"/>
    </row>
    <row r="112" spans="1:12" s="8" customFormat="1" ht="15" customHeight="1" hidden="1">
      <c r="A112" s="103"/>
      <c r="B112" s="89"/>
      <c r="C112" s="182"/>
      <c r="D112" s="111"/>
      <c r="E112" s="111"/>
      <c r="F112" s="95"/>
      <c r="G112" s="111"/>
      <c r="H112" s="95"/>
      <c r="I112" s="95"/>
      <c r="J112" s="34"/>
      <c r="K112" s="34"/>
      <c r="L112" s="95"/>
    </row>
    <row r="113" spans="1:12" s="41" customFormat="1" ht="104.25" customHeight="1" hidden="1">
      <c r="A113" s="102"/>
      <c r="B113" s="85" t="s">
        <v>286</v>
      </c>
      <c r="C113" s="197" t="s">
        <v>428</v>
      </c>
      <c r="D113" s="114">
        <f aca="true" t="shared" si="39" ref="D113:I113">SUM(D114:D114)</f>
        <v>3103.222</v>
      </c>
      <c r="E113" s="114">
        <f t="shared" si="39"/>
        <v>3103.222</v>
      </c>
      <c r="F113" s="114">
        <f t="shared" si="39"/>
        <v>0</v>
      </c>
      <c r="G113" s="114">
        <f t="shared" si="39"/>
        <v>0</v>
      </c>
      <c r="H113" s="114">
        <f t="shared" si="39"/>
        <v>0</v>
      </c>
      <c r="I113" s="114">
        <f t="shared" si="39"/>
        <v>0</v>
      </c>
      <c r="J113" s="35"/>
      <c r="K113" s="35"/>
      <c r="L113" s="114"/>
    </row>
    <row r="114" spans="1:13" s="14" customFormat="1" ht="15.75" hidden="1">
      <c r="A114" s="99"/>
      <c r="B114" s="32" t="s">
        <v>600</v>
      </c>
      <c r="C114" s="187"/>
      <c r="D114" s="111">
        <v>3103.222</v>
      </c>
      <c r="E114" s="111">
        <v>3103.222</v>
      </c>
      <c r="F114" s="116">
        <f>E114-D114</f>
        <v>0</v>
      </c>
      <c r="G114" s="111"/>
      <c r="H114" s="111"/>
      <c r="I114" s="116">
        <f>H114-G114</f>
        <v>0</v>
      </c>
      <c r="J114" s="52"/>
      <c r="K114" s="52"/>
      <c r="L114" s="116"/>
      <c r="M114" s="86"/>
    </row>
    <row r="115" spans="1:13" s="14" customFormat="1" ht="15.75" hidden="1">
      <c r="A115" s="102"/>
      <c r="B115" s="32"/>
      <c r="C115" s="188"/>
      <c r="D115" s="111"/>
      <c r="E115" s="111"/>
      <c r="F115" s="111"/>
      <c r="G115" s="111"/>
      <c r="H115" s="111"/>
      <c r="I115" s="111"/>
      <c r="J115" s="52"/>
      <c r="K115" s="52"/>
      <c r="L115" s="111"/>
      <c r="M115" s="86"/>
    </row>
    <row r="116" spans="1:12" s="41" customFormat="1" ht="106.5" customHeight="1" hidden="1">
      <c r="A116" s="102"/>
      <c r="B116" s="85" t="s">
        <v>287</v>
      </c>
      <c r="C116" s="197" t="s">
        <v>428</v>
      </c>
      <c r="D116" s="114">
        <f aca="true" t="shared" si="40" ref="D116:I116">SUM(D117:D118)</f>
        <v>50221.235</v>
      </c>
      <c r="E116" s="114">
        <f t="shared" si="40"/>
        <v>50221.235</v>
      </c>
      <c r="F116" s="114">
        <f t="shared" si="40"/>
        <v>0</v>
      </c>
      <c r="G116" s="114">
        <f t="shared" si="40"/>
        <v>0</v>
      </c>
      <c r="H116" s="114">
        <f t="shared" si="40"/>
        <v>0</v>
      </c>
      <c r="I116" s="114">
        <f t="shared" si="40"/>
        <v>0</v>
      </c>
      <c r="J116" s="35"/>
      <c r="K116" s="35"/>
      <c r="L116" s="114"/>
    </row>
    <row r="117" spans="1:12" s="41" customFormat="1" ht="15.75" hidden="1">
      <c r="A117" s="99"/>
      <c r="B117" s="32" t="s">
        <v>600</v>
      </c>
      <c r="C117" s="187"/>
      <c r="D117" s="124">
        <f aca="true" t="shared" si="41" ref="D117:I117">SUM(D121+D125+D128+D131)</f>
        <v>24321.235</v>
      </c>
      <c r="E117" s="124">
        <f t="shared" si="41"/>
        <v>24321.235</v>
      </c>
      <c r="F117" s="124">
        <f t="shared" si="41"/>
        <v>0</v>
      </c>
      <c r="G117" s="124">
        <f t="shared" si="41"/>
        <v>0</v>
      </c>
      <c r="H117" s="124">
        <f t="shared" si="41"/>
        <v>0</v>
      </c>
      <c r="I117" s="124">
        <f t="shared" si="41"/>
        <v>0</v>
      </c>
      <c r="J117" s="91"/>
      <c r="K117" s="91"/>
      <c r="L117" s="124"/>
    </row>
    <row r="118" spans="1:12" s="41" customFormat="1" ht="15.75" hidden="1">
      <c r="A118" s="99"/>
      <c r="B118" s="28" t="s">
        <v>602</v>
      </c>
      <c r="C118" s="187"/>
      <c r="D118" s="124">
        <f aca="true" t="shared" si="42" ref="D118:I118">SUM(D122+D132)</f>
        <v>25900</v>
      </c>
      <c r="E118" s="124">
        <f t="shared" si="42"/>
        <v>25900</v>
      </c>
      <c r="F118" s="124">
        <f t="shared" si="42"/>
        <v>0</v>
      </c>
      <c r="G118" s="124">
        <f t="shared" si="42"/>
        <v>0</v>
      </c>
      <c r="H118" s="124">
        <f t="shared" si="42"/>
        <v>0</v>
      </c>
      <c r="I118" s="124">
        <f t="shared" si="42"/>
        <v>0</v>
      </c>
      <c r="J118" s="91"/>
      <c r="K118" s="91"/>
      <c r="L118" s="124"/>
    </row>
    <row r="119" spans="1:12" s="41" customFormat="1" ht="15.75" hidden="1">
      <c r="A119" s="99"/>
      <c r="B119" s="32" t="s">
        <v>89</v>
      </c>
      <c r="C119" s="187"/>
      <c r="D119" s="114"/>
      <c r="E119" s="114"/>
      <c r="F119" s="114"/>
      <c r="G119" s="114"/>
      <c r="H119" s="114"/>
      <c r="I119" s="114"/>
      <c r="J119" s="35"/>
      <c r="K119" s="35"/>
      <c r="L119" s="114"/>
    </row>
    <row r="120" spans="1:12" s="41" customFormat="1" ht="51.75" customHeight="1" hidden="1">
      <c r="A120" s="99"/>
      <c r="B120" s="32" t="s">
        <v>90</v>
      </c>
      <c r="C120" s="187"/>
      <c r="D120" s="114">
        <f aca="true" t="shared" si="43" ref="D120:I120">SUM(D121:D122)</f>
        <v>40341.235</v>
      </c>
      <c r="E120" s="114">
        <f t="shared" si="43"/>
        <v>40341.235</v>
      </c>
      <c r="F120" s="114">
        <f t="shared" si="43"/>
        <v>0</v>
      </c>
      <c r="G120" s="114">
        <f t="shared" si="43"/>
        <v>0</v>
      </c>
      <c r="H120" s="114">
        <f t="shared" si="43"/>
        <v>0</v>
      </c>
      <c r="I120" s="114">
        <f t="shared" si="43"/>
        <v>0</v>
      </c>
      <c r="J120" s="35"/>
      <c r="K120" s="35"/>
      <c r="L120" s="114"/>
    </row>
    <row r="121" spans="1:12" s="41" customFormat="1" ht="15.75" hidden="1">
      <c r="A121" s="99"/>
      <c r="B121" s="32" t="s">
        <v>600</v>
      </c>
      <c r="C121" s="187"/>
      <c r="D121" s="124">
        <v>17241.235</v>
      </c>
      <c r="E121" s="124">
        <v>17241.235</v>
      </c>
      <c r="F121" s="116">
        <f>E121-D121</f>
        <v>0</v>
      </c>
      <c r="G121" s="124"/>
      <c r="H121" s="124"/>
      <c r="I121" s="116">
        <f>H121-G121</f>
        <v>0</v>
      </c>
      <c r="J121" s="91"/>
      <c r="K121" s="91"/>
      <c r="L121" s="116"/>
    </row>
    <row r="122" spans="1:12" s="41" customFormat="1" ht="15.75" hidden="1">
      <c r="A122" s="99"/>
      <c r="B122" s="28" t="s">
        <v>602</v>
      </c>
      <c r="C122" s="187"/>
      <c r="D122" s="124">
        <v>23100</v>
      </c>
      <c r="E122" s="124">
        <v>23100</v>
      </c>
      <c r="F122" s="116">
        <f>E122-D122</f>
        <v>0</v>
      </c>
      <c r="G122" s="124"/>
      <c r="H122" s="124"/>
      <c r="I122" s="116">
        <f>H122-G122</f>
        <v>0</v>
      </c>
      <c r="J122" s="91"/>
      <c r="K122" s="91"/>
      <c r="L122" s="116"/>
    </row>
    <row r="123" spans="1:12" s="41" customFormat="1" ht="15.75" hidden="1">
      <c r="A123" s="99"/>
      <c r="B123" s="28"/>
      <c r="C123" s="187"/>
      <c r="D123" s="124"/>
      <c r="E123" s="124"/>
      <c r="F123" s="124"/>
      <c r="G123" s="124"/>
      <c r="H123" s="124"/>
      <c r="I123" s="124"/>
      <c r="J123" s="91"/>
      <c r="K123" s="91"/>
      <c r="L123" s="124"/>
    </row>
    <row r="124" spans="1:12" s="41" customFormat="1" ht="50.25" customHeight="1" hidden="1">
      <c r="A124" s="99"/>
      <c r="B124" s="92" t="s">
        <v>88</v>
      </c>
      <c r="C124" s="187"/>
      <c r="D124" s="124">
        <f aca="true" t="shared" si="44" ref="D124:E127">SUM(D125)</f>
        <v>780</v>
      </c>
      <c r="E124" s="124">
        <f t="shared" si="44"/>
        <v>780</v>
      </c>
      <c r="F124" s="124">
        <f>SUM(F125)</f>
        <v>0</v>
      </c>
      <c r="G124" s="124">
        <f>SUM(G125)</f>
        <v>0</v>
      </c>
      <c r="H124" s="124">
        <f>SUM(H125)</f>
        <v>0</v>
      </c>
      <c r="I124" s="124">
        <f>SUM(I125)</f>
        <v>0</v>
      </c>
      <c r="J124" s="91"/>
      <c r="K124" s="91"/>
      <c r="L124" s="124"/>
    </row>
    <row r="125" spans="1:13" s="14" customFormat="1" ht="15.75" hidden="1">
      <c r="A125" s="99"/>
      <c r="B125" s="32" t="s">
        <v>600</v>
      </c>
      <c r="C125" s="187"/>
      <c r="D125" s="111">
        <v>780</v>
      </c>
      <c r="E125" s="111">
        <v>780</v>
      </c>
      <c r="F125" s="116">
        <f>E125-D125</f>
        <v>0</v>
      </c>
      <c r="G125" s="111"/>
      <c r="H125" s="111"/>
      <c r="I125" s="116">
        <f>H125-G125</f>
        <v>0</v>
      </c>
      <c r="J125" s="52"/>
      <c r="K125" s="52"/>
      <c r="L125" s="116"/>
      <c r="M125" s="86"/>
    </row>
    <row r="126" spans="1:13" s="14" customFormat="1" ht="15.75" hidden="1">
      <c r="A126" s="99"/>
      <c r="B126" s="32"/>
      <c r="C126" s="187"/>
      <c r="D126" s="111"/>
      <c r="E126" s="111"/>
      <c r="F126" s="111"/>
      <c r="G126" s="111"/>
      <c r="H126" s="111"/>
      <c r="I126" s="111"/>
      <c r="J126" s="52"/>
      <c r="K126" s="52"/>
      <c r="L126" s="111"/>
      <c r="M126" s="86"/>
    </row>
    <row r="127" spans="1:12" s="41" customFormat="1" ht="49.5" customHeight="1" hidden="1">
      <c r="A127" s="99"/>
      <c r="B127" s="92" t="s">
        <v>99</v>
      </c>
      <c r="C127" s="187"/>
      <c r="D127" s="124">
        <f t="shared" si="44"/>
        <v>5100</v>
      </c>
      <c r="E127" s="124">
        <f t="shared" si="44"/>
        <v>5100</v>
      </c>
      <c r="F127" s="124">
        <f>SUM(F128)</f>
        <v>0</v>
      </c>
      <c r="G127" s="124">
        <f>SUM(G128)</f>
        <v>0</v>
      </c>
      <c r="H127" s="124">
        <f>SUM(H128)</f>
        <v>0</v>
      </c>
      <c r="I127" s="124">
        <f>SUM(I128)</f>
        <v>0</v>
      </c>
      <c r="J127" s="91"/>
      <c r="K127" s="91"/>
      <c r="L127" s="124"/>
    </row>
    <row r="128" spans="1:13" s="14" customFormat="1" ht="15.75" hidden="1">
      <c r="A128" s="99"/>
      <c r="B128" s="32" t="s">
        <v>600</v>
      </c>
      <c r="C128" s="187"/>
      <c r="D128" s="111">
        <v>5100</v>
      </c>
      <c r="E128" s="111">
        <v>5100</v>
      </c>
      <c r="F128" s="116">
        <f>E128-D128</f>
        <v>0</v>
      </c>
      <c r="G128" s="111"/>
      <c r="H128" s="111"/>
      <c r="I128" s="111"/>
      <c r="J128" s="52"/>
      <c r="K128" s="52"/>
      <c r="L128" s="111"/>
      <c r="M128" s="86"/>
    </row>
    <row r="129" spans="1:13" s="14" customFormat="1" ht="15.75" hidden="1">
      <c r="A129" s="99"/>
      <c r="B129" s="32"/>
      <c r="C129" s="187"/>
      <c r="D129" s="111"/>
      <c r="E129" s="111"/>
      <c r="F129" s="111"/>
      <c r="G129" s="111"/>
      <c r="H129" s="111"/>
      <c r="I129" s="111"/>
      <c r="J129" s="52"/>
      <c r="K129" s="52"/>
      <c r="L129" s="111"/>
      <c r="M129" s="86"/>
    </row>
    <row r="130" spans="1:13" s="14" customFormat="1" ht="31.5" hidden="1">
      <c r="A130" s="99"/>
      <c r="B130" s="32" t="s">
        <v>96</v>
      </c>
      <c r="C130" s="187"/>
      <c r="D130" s="114">
        <f aca="true" t="shared" si="45" ref="D130:I130">SUM(D131:D132)</f>
        <v>4000</v>
      </c>
      <c r="E130" s="114">
        <f t="shared" si="45"/>
        <v>4000</v>
      </c>
      <c r="F130" s="114">
        <f t="shared" si="45"/>
        <v>0</v>
      </c>
      <c r="G130" s="114">
        <f t="shared" si="45"/>
        <v>0</v>
      </c>
      <c r="H130" s="114">
        <f t="shared" si="45"/>
        <v>0</v>
      </c>
      <c r="I130" s="114">
        <f t="shared" si="45"/>
        <v>0</v>
      </c>
      <c r="J130" s="35"/>
      <c r="K130" s="35"/>
      <c r="L130" s="114"/>
      <c r="M130" s="86"/>
    </row>
    <row r="131" spans="1:13" s="14" customFormat="1" ht="15.75" hidden="1">
      <c r="A131" s="99"/>
      <c r="B131" s="32" t="s">
        <v>600</v>
      </c>
      <c r="C131" s="187"/>
      <c r="D131" s="111">
        <v>1200</v>
      </c>
      <c r="E131" s="111">
        <v>1200</v>
      </c>
      <c r="F131" s="116">
        <f>E131-D131</f>
        <v>0</v>
      </c>
      <c r="G131" s="111"/>
      <c r="H131" s="111"/>
      <c r="I131" s="116">
        <f>H131-G131</f>
        <v>0</v>
      </c>
      <c r="J131" s="52"/>
      <c r="K131" s="52"/>
      <c r="L131" s="116"/>
      <c r="M131" s="86"/>
    </row>
    <row r="132" spans="1:13" s="14" customFormat="1" ht="15.75" hidden="1">
      <c r="A132" s="99"/>
      <c r="B132" s="28" t="s">
        <v>602</v>
      </c>
      <c r="C132" s="187"/>
      <c r="D132" s="111">
        <v>2800</v>
      </c>
      <c r="E132" s="111">
        <v>2800</v>
      </c>
      <c r="F132" s="116">
        <f>E132-D132</f>
        <v>0</v>
      </c>
      <c r="G132" s="111"/>
      <c r="H132" s="111"/>
      <c r="I132" s="116">
        <f>H132-G132</f>
        <v>0</v>
      </c>
      <c r="J132" s="52"/>
      <c r="K132" s="52"/>
      <c r="L132" s="116"/>
      <c r="M132" s="86"/>
    </row>
    <row r="133" spans="1:13" s="14" customFormat="1" ht="15.75" hidden="1">
      <c r="A133" s="102"/>
      <c r="B133" s="32"/>
      <c r="C133" s="188"/>
      <c r="D133" s="111"/>
      <c r="E133" s="111"/>
      <c r="F133" s="111"/>
      <c r="G133" s="111"/>
      <c r="H133" s="111"/>
      <c r="I133" s="111"/>
      <c r="J133" s="52"/>
      <c r="K133" s="52"/>
      <c r="L133" s="111"/>
      <c r="M133" s="86"/>
    </row>
    <row r="134" spans="1:12" s="7" customFormat="1" ht="15" customHeight="1">
      <c r="A134" s="172"/>
      <c r="B134" s="230" t="s">
        <v>49</v>
      </c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</row>
    <row r="135" spans="1:12" s="39" customFormat="1" ht="23.25" customHeight="1">
      <c r="A135" s="103" t="s">
        <v>588</v>
      </c>
      <c r="B135" s="43" t="s">
        <v>24</v>
      </c>
      <c r="C135" s="186"/>
      <c r="D135" s="97">
        <f aca="true" t="shared" si="46" ref="D135:I135">SUM(D136:D139)</f>
        <v>2463059.8639999996</v>
      </c>
      <c r="E135" s="97">
        <f t="shared" si="46"/>
        <v>2462713.0949999997</v>
      </c>
      <c r="F135" s="97">
        <f t="shared" si="46"/>
        <v>-346.7690000000075</v>
      </c>
      <c r="G135" s="97">
        <f t="shared" si="46"/>
        <v>334841.80600000004</v>
      </c>
      <c r="H135" s="97">
        <f t="shared" si="46"/>
        <v>334495.037</v>
      </c>
      <c r="I135" s="97">
        <f t="shared" si="46"/>
        <v>-346.76900000000114</v>
      </c>
      <c r="J135" s="18"/>
      <c r="K135" s="18"/>
      <c r="L135" s="97"/>
    </row>
    <row r="136" spans="1:12" s="8" customFormat="1" ht="15" customHeight="1">
      <c r="A136" s="103" t="s">
        <v>589</v>
      </c>
      <c r="B136" s="10" t="s">
        <v>600</v>
      </c>
      <c r="C136" s="186"/>
      <c r="D136" s="117">
        <f aca="true" t="shared" si="47" ref="D136:I136">SUM(D142+D174)</f>
        <v>989419.738</v>
      </c>
      <c r="E136" s="117">
        <f t="shared" si="47"/>
        <v>989072.969</v>
      </c>
      <c r="F136" s="95">
        <f t="shared" si="47"/>
        <v>-346.7690000000075</v>
      </c>
      <c r="G136" s="117">
        <f t="shared" si="47"/>
        <v>102999.00600000002</v>
      </c>
      <c r="H136" s="117">
        <f t="shared" si="47"/>
        <v>102652.23700000002</v>
      </c>
      <c r="I136" s="117">
        <f t="shared" si="47"/>
        <v>-346.76900000000114</v>
      </c>
      <c r="J136" s="22"/>
      <c r="K136" s="22"/>
      <c r="L136" s="95"/>
    </row>
    <row r="137" spans="1:12" s="8" customFormat="1" ht="15" customHeight="1">
      <c r="A137" s="103" t="s">
        <v>590</v>
      </c>
      <c r="B137" s="10" t="s">
        <v>601</v>
      </c>
      <c r="C137" s="186"/>
      <c r="D137" s="117">
        <f aca="true" t="shared" si="48" ref="D137:I137">SUM(D175)</f>
        <v>3597.1059999999998</v>
      </c>
      <c r="E137" s="117">
        <f t="shared" si="48"/>
        <v>7508.806</v>
      </c>
      <c r="F137" s="117">
        <f t="shared" si="48"/>
        <v>0</v>
      </c>
      <c r="G137" s="117">
        <f t="shared" si="48"/>
        <v>0</v>
      </c>
      <c r="H137" s="117">
        <f t="shared" si="48"/>
        <v>3911.7</v>
      </c>
      <c r="I137" s="117">
        <f t="shared" si="48"/>
        <v>3911.7</v>
      </c>
      <c r="J137" s="22"/>
      <c r="K137" s="22"/>
      <c r="L137" s="117"/>
    </row>
    <row r="138" spans="1:12" s="8" customFormat="1" ht="15" customHeight="1">
      <c r="A138" s="103" t="s">
        <v>591</v>
      </c>
      <c r="B138" s="10" t="s">
        <v>602</v>
      </c>
      <c r="C138" s="186"/>
      <c r="D138" s="117">
        <f aca="true" t="shared" si="49" ref="D138:I138">SUM(D144+D176)</f>
        <v>1457345.6199999999</v>
      </c>
      <c r="E138" s="117">
        <f t="shared" si="49"/>
        <v>1453433.92</v>
      </c>
      <c r="F138" s="117">
        <f t="shared" si="49"/>
        <v>0</v>
      </c>
      <c r="G138" s="117">
        <f t="shared" si="49"/>
        <v>230142.80000000002</v>
      </c>
      <c r="H138" s="117">
        <f t="shared" si="49"/>
        <v>226231.1</v>
      </c>
      <c r="I138" s="117">
        <f t="shared" si="49"/>
        <v>-3911.7</v>
      </c>
      <c r="J138" s="22"/>
      <c r="K138" s="22"/>
      <c r="L138" s="117"/>
    </row>
    <row r="139" spans="1:12" s="8" customFormat="1" ht="15" customHeight="1">
      <c r="A139" s="103" t="s">
        <v>592</v>
      </c>
      <c r="B139" s="10" t="s">
        <v>603</v>
      </c>
      <c r="C139" s="186"/>
      <c r="D139" s="117">
        <f aca="true" t="shared" si="50" ref="D139:I139">SUM(D177)</f>
        <v>12697.4</v>
      </c>
      <c r="E139" s="117">
        <f t="shared" si="50"/>
        <v>12697.4</v>
      </c>
      <c r="F139" s="117">
        <f t="shared" si="50"/>
        <v>0</v>
      </c>
      <c r="G139" s="117">
        <f t="shared" si="50"/>
        <v>1700</v>
      </c>
      <c r="H139" s="117">
        <f t="shared" si="50"/>
        <v>1700</v>
      </c>
      <c r="I139" s="117">
        <f t="shared" si="50"/>
        <v>0</v>
      </c>
      <c r="J139" s="22"/>
      <c r="K139" s="22"/>
      <c r="L139" s="117"/>
    </row>
    <row r="140" spans="1:12" s="8" customFormat="1" ht="15" customHeight="1" hidden="1">
      <c r="A140" s="173"/>
      <c r="B140" s="224" t="s">
        <v>604</v>
      </c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</row>
    <row r="141" spans="1:12" s="39" customFormat="1" ht="36.75" customHeight="1" hidden="1">
      <c r="A141" s="103"/>
      <c r="B141" s="43" t="s">
        <v>21</v>
      </c>
      <c r="C141" s="186"/>
      <c r="D141" s="97">
        <f aca="true" t="shared" si="51" ref="D141:I141">SUM(D142:D144)</f>
        <v>3000</v>
      </c>
      <c r="E141" s="97">
        <f t="shared" si="51"/>
        <v>3000</v>
      </c>
      <c r="F141" s="97">
        <f t="shared" si="51"/>
        <v>0</v>
      </c>
      <c r="G141" s="97">
        <f t="shared" si="51"/>
        <v>0</v>
      </c>
      <c r="H141" s="97">
        <f t="shared" si="51"/>
        <v>0</v>
      </c>
      <c r="I141" s="97">
        <f t="shared" si="51"/>
        <v>0</v>
      </c>
      <c r="J141" s="18"/>
      <c r="K141" s="18"/>
      <c r="L141" s="97"/>
    </row>
    <row r="142" spans="1:12" s="8" customFormat="1" ht="15" customHeight="1" hidden="1">
      <c r="A142" s="103"/>
      <c r="B142" s="10" t="s">
        <v>600</v>
      </c>
      <c r="C142" s="186"/>
      <c r="D142" s="117">
        <f aca="true" t="shared" si="52" ref="D142:I142">SUM(D148+D159)</f>
        <v>3000</v>
      </c>
      <c r="E142" s="117">
        <f t="shared" si="52"/>
        <v>3000</v>
      </c>
      <c r="F142" s="117">
        <f t="shared" si="52"/>
        <v>0</v>
      </c>
      <c r="G142" s="117">
        <f t="shared" si="52"/>
        <v>0</v>
      </c>
      <c r="H142" s="117">
        <f t="shared" si="52"/>
        <v>0</v>
      </c>
      <c r="I142" s="117">
        <f t="shared" si="52"/>
        <v>0</v>
      </c>
      <c r="J142" s="22"/>
      <c r="K142" s="22"/>
      <c r="L142" s="117"/>
    </row>
    <row r="143" spans="1:12" s="8" customFormat="1" ht="15" customHeight="1" hidden="1">
      <c r="A143" s="103"/>
      <c r="B143" s="10" t="s">
        <v>601</v>
      </c>
      <c r="C143" s="186"/>
      <c r="D143" s="117"/>
      <c r="E143" s="117"/>
      <c r="F143" s="117"/>
      <c r="G143" s="117"/>
      <c r="H143" s="117"/>
      <c r="I143" s="117"/>
      <c r="J143" s="22"/>
      <c r="K143" s="22"/>
      <c r="L143" s="117"/>
    </row>
    <row r="144" spans="1:12" s="8" customFormat="1" ht="15" customHeight="1" hidden="1">
      <c r="A144" s="103"/>
      <c r="B144" s="10" t="s">
        <v>602</v>
      </c>
      <c r="C144" s="186"/>
      <c r="D144" s="117">
        <f aca="true" t="shared" si="53" ref="D144:I144">SUM(D150+D160)</f>
        <v>0</v>
      </c>
      <c r="E144" s="117">
        <f t="shared" si="53"/>
        <v>0</v>
      </c>
      <c r="F144" s="117">
        <f t="shared" si="53"/>
        <v>0</v>
      </c>
      <c r="G144" s="117">
        <f t="shared" si="53"/>
        <v>0</v>
      </c>
      <c r="H144" s="117">
        <f t="shared" si="53"/>
        <v>0</v>
      </c>
      <c r="I144" s="117">
        <f t="shared" si="53"/>
        <v>0</v>
      </c>
      <c r="J144" s="22"/>
      <c r="K144" s="22"/>
      <c r="L144" s="117"/>
    </row>
    <row r="145" spans="1:12" s="8" customFormat="1" ht="15" customHeight="1" hidden="1">
      <c r="A145" s="103"/>
      <c r="B145" s="10"/>
      <c r="C145" s="186"/>
      <c r="D145" s="118"/>
      <c r="E145" s="118"/>
      <c r="F145" s="118"/>
      <c r="G145" s="118"/>
      <c r="H145" s="118"/>
      <c r="I145" s="118"/>
      <c r="J145" s="21"/>
      <c r="K145" s="21"/>
      <c r="L145" s="118"/>
    </row>
    <row r="146" spans="1:12" s="8" customFormat="1" ht="15" customHeight="1" hidden="1">
      <c r="A146" s="174"/>
      <c r="B146" s="233" t="s">
        <v>605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</row>
    <row r="147" spans="1:12" s="39" customFormat="1" ht="52.5" customHeight="1" hidden="1">
      <c r="A147" s="103"/>
      <c r="B147" s="43" t="s">
        <v>277</v>
      </c>
      <c r="C147" s="186"/>
      <c r="D147" s="97">
        <f aca="true" t="shared" si="54" ref="D147:I147">SUM(D148:D150)</f>
        <v>0</v>
      </c>
      <c r="E147" s="97">
        <f t="shared" si="54"/>
        <v>0</v>
      </c>
      <c r="F147" s="97">
        <f t="shared" si="54"/>
        <v>0</v>
      </c>
      <c r="G147" s="97">
        <f t="shared" si="54"/>
        <v>0</v>
      </c>
      <c r="H147" s="97">
        <f t="shared" si="54"/>
        <v>0</v>
      </c>
      <c r="I147" s="97">
        <f t="shared" si="54"/>
        <v>0</v>
      </c>
      <c r="J147" s="18"/>
      <c r="K147" s="18"/>
      <c r="L147" s="97"/>
    </row>
    <row r="148" spans="1:12" s="8" customFormat="1" ht="15" customHeight="1" hidden="1">
      <c r="A148" s="103"/>
      <c r="B148" s="10" t="s">
        <v>600</v>
      </c>
      <c r="C148" s="186"/>
      <c r="D148" s="152">
        <f aca="true" t="shared" si="55" ref="D148:G150">SUM(D153)</f>
        <v>0</v>
      </c>
      <c r="E148" s="152">
        <f t="shared" si="55"/>
        <v>0</v>
      </c>
      <c r="F148" s="152">
        <f t="shared" si="55"/>
        <v>0</v>
      </c>
      <c r="G148" s="152">
        <f t="shared" si="55"/>
        <v>0</v>
      </c>
      <c r="H148" s="152">
        <f aca="true" t="shared" si="56" ref="H148:I150">SUM(H153)</f>
        <v>0</v>
      </c>
      <c r="I148" s="152">
        <f t="shared" si="56"/>
        <v>0</v>
      </c>
      <c r="J148" s="17"/>
      <c r="K148" s="17"/>
      <c r="L148" s="152"/>
    </row>
    <row r="149" spans="1:12" s="8" customFormat="1" ht="15" customHeight="1" hidden="1">
      <c r="A149" s="103"/>
      <c r="B149" s="10" t="s">
        <v>601</v>
      </c>
      <c r="C149" s="186"/>
      <c r="D149" s="152">
        <f t="shared" si="55"/>
        <v>0</v>
      </c>
      <c r="E149" s="152">
        <f t="shared" si="55"/>
        <v>0</v>
      </c>
      <c r="F149" s="152">
        <f t="shared" si="55"/>
        <v>0</v>
      </c>
      <c r="G149" s="152">
        <f t="shared" si="55"/>
        <v>0</v>
      </c>
      <c r="H149" s="152">
        <f t="shared" si="56"/>
        <v>0</v>
      </c>
      <c r="I149" s="152">
        <f t="shared" si="56"/>
        <v>0</v>
      </c>
      <c r="J149" s="17"/>
      <c r="K149" s="17"/>
      <c r="L149" s="152"/>
    </row>
    <row r="150" spans="1:12" s="8" customFormat="1" ht="15" customHeight="1" hidden="1">
      <c r="A150" s="103"/>
      <c r="B150" s="10" t="s">
        <v>602</v>
      </c>
      <c r="C150" s="186"/>
      <c r="D150" s="152">
        <f t="shared" si="55"/>
        <v>0</v>
      </c>
      <c r="E150" s="152">
        <f t="shared" si="55"/>
        <v>0</v>
      </c>
      <c r="F150" s="152">
        <f t="shared" si="55"/>
        <v>0</v>
      </c>
      <c r="G150" s="152">
        <f t="shared" si="55"/>
        <v>0</v>
      </c>
      <c r="H150" s="152">
        <f t="shared" si="56"/>
        <v>0</v>
      </c>
      <c r="I150" s="152">
        <f t="shared" si="56"/>
        <v>0</v>
      </c>
      <c r="J150" s="17"/>
      <c r="K150" s="17"/>
      <c r="L150" s="152"/>
    </row>
    <row r="151" spans="1:12" s="8" customFormat="1" ht="15" customHeight="1" hidden="1">
      <c r="A151" s="103"/>
      <c r="B151" s="10"/>
      <c r="C151" s="186"/>
      <c r="D151" s="118"/>
      <c r="E151" s="118"/>
      <c r="F151" s="118"/>
      <c r="G151" s="118"/>
      <c r="H151" s="118"/>
      <c r="I151" s="118"/>
      <c r="J151" s="21"/>
      <c r="K151" s="21"/>
      <c r="L151" s="118"/>
    </row>
    <row r="152" spans="1:12" s="8" customFormat="1" ht="66.75" customHeight="1" hidden="1">
      <c r="A152" s="103"/>
      <c r="B152" s="43" t="s">
        <v>330</v>
      </c>
      <c r="C152" s="195" t="s">
        <v>430</v>
      </c>
      <c r="D152" s="97">
        <f aca="true" t="shared" si="57" ref="D152:I152">SUM(D153:D155)</f>
        <v>0</v>
      </c>
      <c r="E152" s="97">
        <f t="shared" si="57"/>
        <v>0</v>
      </c>
      <c r="F152" s="97">
        <f t="shared" si="57"/>
        <v>0</v>
      </c>
      <c r="G152" s="97">
        <f t="shared" si="57"/>
        <v>0</v>
      </c>
      <c r="H152" s="97">
        <f t="shared" si="57"/>
        <v>0</v>
      </c>
      <c r="I152" s="97">
        <f t="shared" si="57"/>
        <v>0</v>
      </c>
      <c r="J152" s="18"/>
      <c r="K152" s="18"/>
      <c r="L152" s="97"/>
    </row>
    <row r="153" spans="1:12" s="8" customFormat="1" ht="15" customHeight="1" hidden="1">
      <c r="A153" s="103"/>
      <c r="B153" s="10" t="s">
        <v>600</v>
      </c>
      <c r="C153" s="186"/>
      <c r="D153" s="111"/>
      <c r="E153" s="111"/>
      <c r="F153" s="116">
        <f>E153-D153</f>
        <v>0</v>
      </c>
      <c r="G153" s="111"/>
      <c r="H153" s="116"/>
      <c r="I153" s="116">
        <f>H153-G153</f>
        <v>0</v>
      </c>
      <c r="J153" s="15"/>
      <c r="K153" s="15"/>
      <c r="L153" s="116"/>
    </row>
    <row r="154" spans="1:12" s="8" customFormat="1" ht="15" customHeight="1" hidden="1">
      <c r="A154" s="103"/>
      <c r="B154" s="10" t="s">
        <v>601</v>
      </c>
      <c r="C154" s="186"/>
      <c r="D154" s="111"/>
      <c r="E154" s="111"/>
      <c r="F154" s="116">
        <f>E154-D154</f>
        <v>0</v>
      </c>
      <c r="G154" s="111"/>
      <c r="H154" s="116"/>
      <c r="I154" s="116">
        <f>H154-G154</f>
        <v>0</v>
      </c>
      <c r="J154" s="15"/>
      <c r="K154" s="15"/>
      <c r="L154" s="116"/>
    </row>
    <row r="155" spans="1:12" s="8" customFormat="1" ht="15" customHeight="1" hidden="1">
      <c r="A155" s="103"/>
      <c r="B155" s="10" t="s">
        <v>602</v>
      </c>
      <c r="C155" s="186"/>
      <c r="D155" s="111"/>
      <c r="E155" s="111"/>
      <c r="F155" s="116">
        <f>E155-D155</f>
        <v>0</v>
      </c>
      <c r="G155" s="111"/>
      <c r="H155" s="116"/>
      <c r="I155" s="116">
        <f>H155-G155</f>
        <v>0</v>
      </c>
      <c r="J155" s="15"/>
      <c r="K155" s="15"/>
      <c r="L155" s="116"/>
    </row>
    <row r="156" spans="1:12" s="8" customFormat="1" ht="15" customHeight="1" hidden="1">
      <c r="A156" s="103"/>
      <c r="B156" s="10"/>
      <c r="C156" s="186"/>
      <c r="D156" s="118"/>
      <c r="E156" s="118"/>
      <c r="F156" s="118"/>
      <c r="G156" s="118"/>
      <c r="H156" s="118"/>
      <c r="I156" s="118"/>
      <c r="J156" s="21"/>
      <c r="K156" s="21"/>
      <c r="L156" s="118"/>
    </row>
    <row r="157" spans="1:12" s="8" customFormat="1" ht="15" customHeight="1" hidden="1">
      <c r="A157" s="174"/>
      <c r="B157" s="233" t="s">
        <v>10</v>
      </c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</row>
    <row r="158" spans="1:12" s="41" customFormat="1" ht="31.5" hidden="1">
      <c r="A158" s="99"/>
      <c r="B158" s="46" t="s">
        <v>278</v>
      </c>
      <c r="C158" s="187"/>
      <c r="D158" s="114">
        <f aca="true" t="shared" si="58" ref="D158:I158">SUM(D159:D160)</f>
        <v>3000</v>
      </c>
      <c r="E158" s="114">
        <f t="shared" si="58"/>
        <v>3000</v>
      </c>
      <c r="F158" s="114">
        <f t="shared" si="58"/>
        <v>0</v>
      </c>
      <c r="G158" s="114">
        <f t="shared" si="58"/>
        <v>0</v>
      </c>
      <c r="H158" s="114">
        <f t="shared" si="58"/>
        <v>0</v>
      </c>
      <c r="I158" s="114">
        <f t="shared" si="58"/>
        <v>0</v>
      </c>
      <c r="J158" s="35"/>
      <c r="K158" s="35"/>
      <c r="L158" s="114"/>
    </row>
    <row r="159" spans="1:12" s="14" customFormat="1" ht="15" customHeight="1" hidden="1">
      <c r="A159" s="99"/>
      <c r="B159" s="10" t="s">
        <v>600</v>
      </c>
      <c r="C159" s="187"/>
      <c r="D159" s="121">
        <f aca="true" t="shared" si="59" ref="D159:I160">SUM(D163)</f>
        <v>3000</v>
      </c>
      <c r="E159" s="121">
        <f t="shared" si="59"/>
        <v>3000</v>
      </c>
      <c r="F159" s="121">
        <f t="shared" si="59"/>
        <v>0</v>
      </c>
      <c r="G159" s="121">
        <f t="shared" si="59"/>
        <v>0</v>
      </c>
      <c r="H159" s="121">
        <f t="shared" si="59"/>
        <v>0</v>
      </c>
      <c r="I159" s="121">
        <f t="shared" si="59"/>
        <v>0</v>
      </c>
      <c r="J159" s="29"/>
      <c r="K159" s="29"/>
      <c r="L159" s="121"/>
    </row>
    <row r="160" spans="1:12" s="14" customFormat="1" ht="15" customHeight="1" hidden="1">
      <c r="A160" s="99"/>
      <c r="B160" s="10" t="s">
        <v>602</v>
      </c>
      <c r="C160" s="187"/>
      <c r="D160" s="121">
        <f t="shared" si="59"/>
        <v>0</v>
      </c>
      <c r="E160" s="121">
        <f t="shared" si="59"/>
        <v>0</v>
      </c>
      <c r="F160" s="121">
        <f t="shared" si="59"/>
        <v>0</v>
      </c>
      <c r="G160" s="121">
        <f t="shared" si="59"/>
        <v>0</v>
      </c>
      <c r="H160" s="121">
        <f t="shared" si="59"/>
        <v>0</v>
      </c>
      <c r="I160" s="121">
        <f t="shared" si="59"/>
        <v>0</v>
      </c>
      <c r="J160" s="29"/>
      <c r="K160" s="29"/>
      <c r="L160" s="121"/>
    </row>
    <row r="161" spans="1:12" s="8" customFormat="1" ht="15" customHeight="1" hidden="1">
      <c r="A161" s="103"/>
      <c r="B161" s="10"/>
      <c r="C161" s="186"/>
      <c r="D161" s="118"/>
      <c r="E161" s="118"/>
      <c r="F161" s="118"/>
      <c r="G161" s="118"/>
      <c r="H161" s="118"/>
      <c r="I161" s="118"/>
      <c r="J161" s="21"/>
      <c r="K161" s="21"/>
      <c r="L161" s="118"/>
    </row>
    <row r="162" spans="1:12" s="8" customFormat="1" ht="112.5" customHeight="1" hidden="1">
      <c r="A162" s="104"/>
      <c r="B162" s="122" t="s">
        <v>331</v>
      </c>
      <c r="C162" s="195" t="s">
        <v>430</v>
      </c>
      <c r="D162" s="114">
        <f aca="true" t="shared" si="60" ref="D162:I162">SUM(D163:D164)</f>
        <v>3000</v>
      </c>
      <c r="E162" s="114">
        <f t="shared" si="60"/>
        <v>3000</v>
      </c>
      <c r="F162" s="114">
        <f t="shared" si="60"/>
        <v>0</v>
      </c>
      <c r="G162" s="114">
        <f t="shared" si="60"/>
        <v>0</v>
      </c>
      <c r="H162" s="114">
        <f t="shared" si="60"/>
        <v>0</v>
      </c>
      <c r="I162" s="114">
        <f t="shared" si="60"/>
        <v>0</v>
      </c>
      <c r="J162" s="35"/>
      <c r="K162" s="35"/>
      <c r="L162" s="114"/>
    </row>
    <row r="163" spans="1:12" s="8" customFormat="1" ht="15" customHeight="1" hidden="1">
      <c r="A163" s="104"/>
      <c r="B163" s="10" t="s">
        <v>600</v>
      </c>
      <c r="C163" s="187"/>
      <c r="D163" s="114">
        <f aca="true" t="shared" si="61" ref="D163:I164">SUM(D166+D169)</f>
        <v>3000</v>
      </c>
      <c r="E163" s="114">
        <f t="shared" si="61"/>
        <v>3000</v>
      </c>
      <c r="F163" s="114">
        <f t="shared" si="61"/>
        <v>0</v>
      </c>
      <c r="G163" s="114">
        <f t="shared" si="61"/>
        <v>0</v>
      </c>
      <c r="H163" s="114">
        <f t="shared" si="61"/>
        <v>0</v>
      </c>
      <c r="I163" s="114">
        <f t="shared" si="61"/>
        <v>0</v>
      </c>
      <c r="J163" s="35"/>
      <c r="K163" s="35"/>
      <c r="L163" s="114"/>
    </row>
    <row r="164" spans="1:12" s="8" customFormat="1" ht="15" customHeight="1" hidden="1">
      <c r="A164" s="104"/>
      <c r="B164" s="10" t="s">
        <v>602</v>
      </c>
      <c r="C164" s="187"/>
      <c r="D164" s="114">
        <f t="shared" si="61"/>
        <v>0</v>
      </c>
      <c r="E164" s="114">
        <f t="shared" si="61"/>
        <v>0</v>
      </c>
      <c r="F164" s="114">
        <f t="shared" si="61"/>
        <v>0</v>
      </c>
      <c r="G164" s="114">
        <f t="shared" si="61"/>
        <v>0</v>
      </c>
      <c r="H164" s="114">
        <f t="shared" si="61"/>
        <v>0</v>
      </c>
      <c r="I164" s="114">
        <f t="shared" si="61"/>
        <v>0</v>
      </c>
      <c r="J164" s="35"/>
      <c r="K164" s="35"/>
      <c r="L164" s="114"/>
    </row>
    <row r="165" spans="1:12" s="8" customFormat="1" ht="33" customHeight="1" hidden="1">
      <c r="A165" s="104"/>
      <c r="B165" s="93" t="s">
        <v>288</v>
      </c>
      <c r="C165" s="187"/>
      <c r="D165" s="95"/>
      <c r="E165" s="95"/>
      <c r="F165" s="95"/>
      <c r="G165" s="95"/>
      <c r="H165" s="95"/>
      <c r="I165" s="95"/>
      <c r="J165" s="34"/>
      <c r="K165" s="34"/>
      <c r="L165" s="95"/>
    </row>
    <row r="166" spans="1:12" s="8" customFormat="1" ht="15" customHeight="1" hidden="1">
      <c r="A166" s="104"/>
      <c r="B166" s="10" t="s">
        <v>600</v>
      </c>
      <c r="C166" s="187"/>
      <c r="D166" s="95">
        <v>2500</v>
      </c>
      <c r="E166" s="95">
        <v>2500</v>
      </c>
      <c r="F166" s="116">
        <f>E166-D166</f>
        <v>0</v>
      </c>
      <c r="G166" s="95"/>
      <c r="H166" s="95"/>
      <c r="I166" s="116">
        <f>H166-G166</f>
        <v>0</v>
      </c>
      <c r="J166" s="34"/>
      <c r="K166" s="34"/>
      <c r="L166" s="116"/>
    </row>
    <row r="167" spans="1:12" s="8" customFormat="1" ht="15" customHeight="1" hidden="1">
      <c r="A167" s="104"/>
      <c r="B167" s="10" t="s">
        <v>602</v>
      </c>
      <c r="C167" s="187"/>
      <c r="D167" s="95"/>
      <c r="E167" s="95"/>
      <c r="F167" s="95"/>
      <c r="G167" s="95"/>
      <c r="H167" s="95"/>
      <c r="I167" s="95"/>
      <c r="J167" s="34"/>
      <c r="K167" s="34"/>
      <c r="L167" s="95"/>
    </row>
    <row r="168" spans="1:12" s="8" customFormat="1" ht="35.25" customHeight="1" hidden="1">
      <c r="A168" s="104"/>
      <c r="B168" s="93" t="s">
        <v>289</v>
      </c>
      <c r="C168" s="187"/>
      <c r="D168" s="95"/>
      <c r="E168" s="95"/>
      <c r="F168" s="95"/>
      <c r="G168" s="95"/>
      <c r="H168" s="95"/>
      <c r="I168" s="95"/>
      <c r="J168" s="34"/>
      <c r="K168" s="34"/>
      <c r="L168" s="95"/>
    </row>
    <row r="169" spans="1:12" s="8" customFormat="1" ht="15" customHeight="1" hidden="1">
      <c r="A169" s="104"/>
      <c r="B169" s="10" t="s">
        <v>600</v>
      </c>
      <c r="C169" s="187"/>
      <c r="D169" s="95">
        <v>500</v>
      </c>
      <c r="E169" s="95">
        <v>500</v>
      </c>
      <c r="F169" s="116">
        <f>E169-D169</f>
        <v>0</v>
      </c>
      <c r="G169" s="95"/>
      <c r="H169" s="95"/>
      <c r="I169" s="116">
        <f>H169-G169</f>
        <v>0</v>
      </c>
      <c r="J169" s="34"/>
      <c r="K169" s="34"/>
      <c r="L169" s="116"/>
    </row>
    <row r="170" spans="1:12" s="8" customFormat="1" ht="15" customHeight="1" hidden="1">
      <c r="A170" s="104"/>
      <c r="B170" s="10" t="s">
        <v>602</v>
      </c>
      <c r="C170" s="187"/>
      <c r="D170" s="95"/>
      <c r="E170" s="95"/>
      <c r="F170" s="95"/>
      <c r="G170" s="95"/>
      <c r="H170" s="95"/>
      <c r="I170" s="95"/>
      <c r="J170" s="34"/>
      <c r="K170" s="34"/>
      <c r="L170" s="95"/>
    </row>
    <row r="171" spans="1:12" s="8" customFormat="1" ht="15" customHeight="1" hidden="1">
      <c r="A171" s="103"/>
      <c r="B171" s="10"/>
      <c r="C171" s="182"/>
      <c r="D171" s="155"/>
      <c r="E171" s="155"/>
      <c r="F171" s="155"/>
      <c r="G171" s="155"/>
      <c r="H171" s="155"/>
      <c r="I171" s="155"/>
      <c r="J171" s="19"/>
      <c r="K171" s="19"/>
      <c r="L171" s="155"/>
    </row>
    <row r="172" spans="1:12" s="8" customFormat="1" ht="15" customHeight="1">
      <c r="A172" s="173"/>
      <c r="B172" s="224" t="s">
        <v>2</v>
      </c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</row>
    <row r="173" spans="1:12" s="39" customFormat="1" ht="22.5" customHeight="1">
      <c r="A173" s="103" t="s">
        <v>532</v>
      </c>
      <c r="B173" s="43" t="s">
        <v>3</v>
      </c>
      <c r="C173" s="186"/>
      <c r="D173" s="97">
        <f aca="true" t="shared" si="62" ref="D173:I173">SUM(D174:D177)</f>
        <v>2460059.8639999996</v>
      </c>
      <c r="E173" s="97">
        <f t="shared" si="62"/>
        <v>2459713.0949999997</v>
      </c>
      <c r="F173" s="97">
        <f t="shared" si="62"/>
        <v>-346.7690000000075</v>
      </c>
      <c r="G173" s="97">
        <f t="shared" si="62"/>
        <v>334841.80600000004</v>
      </c>
      <c r="H173" s="97">
        <f t="shared" si="62"/>
        <v>334495.037</v>
      </c>
      <c r="I173" s="97">
        <f t="shared" si="62"/>
        <v>-346.76900000000114</v>
      </c>
      <c r="J173" s="18"/>
      <c r="K173" s="18"/>
      <c r="L173" s="97"/>
    </row>
    <row r="174" spans="1:12" s="8" customFormat="1" ht="15" customHeight="1">
      <c r="A174" s="103" t="s">
        <v>533</v>
      </c>
      <c r="B174" s="10" t="s">
        <v>600</v>
      </c>
      <c r="C174" s="186"/>
      <c r="D174" s="118">
        <f aca="true" t="shared" si="63" ref="D174:I174">SUM(D180+D191+D221+D232+D235+D250+D261+D265+D266+D272+D279)</f>
        <v>986419.738</v>
      </c>
      <c r="E174" s="118">
        <f t="shared" si="63"/>
        <v>986072.969</v>
      </c>
      <c r="F174" s="118">
        <f t="shared" si="63"/>
        <v>-346.7690000000075</v>
      </c>
      <c r="G174" s="118">
        <f t="shared" si="63"/>
        <v>102999.00600000002</v>
      </c>
      <c r="H174" s="118">
        <f t="shared" si="63"/>
        <v>102652.23700000002</v>
      </c>
      <c r="I174" s="118">
        <f t="shared" si="63"/>
        <v>-346.76900000000114</v>
      </c>
      <c r="J174" s="21"/>
      <c r="K174" s="21"/>
      <c r="L174" s="118"/>
    </row>
    <row r="175" spans="1:12" s="8" customFormat="1" ht="15" customHeight="1">
      <c r="A175" s="103" t="s">
        <v>534</v>
      </c>
      <c r="B175" s="10" t="s">
        <v>601</v>
      </c>
      <c r="C175" s="186"/>
      <c r="D175" s="96">
        <f>SUM(D222+D252+D281)</f>
        <v>3597.1059999999998</v>
      </c>
      <c r="E175" s="96">
        <f>SUM(E222+E252+E281)</f>
        <v>7508.806</v>
      </c>
      <c r="F175" s="96">
        <f>SUM(F222+F252)</f>
        <v>0</v>
      </c>
      <c r="G175" s="96">
        <f>SUM(G222+G252+G281)</f>
        <v>0</v>
      </c>
      <c r="H175" s="96">
        <f>SUM(H222+H252+H281)</f>
        <v>3911.7</v>
      </c>
      <c r="I175" s="96">
        <f>SUM(I222+I252+I281)</f>
        <v>3911.7</v>
      </c>
      <c r="J175" s="33"/>
      <c r="K175" s="33"/>
      <c r="L175" s="96"/>
    </row>
    <row r="176" spans="1:12" s="8" customFormat="1" ht="15" customHeight="1">
      <c r="A176" s="103" t="s">
        <v>535</v>
      </c>
      <c r="B176" s="10" t="s">
        <v>602</v>
      </c>
      <c r="C176" s="186"/>
      <c r="D176" s="118">
        <f>SUM(D181+D192+D223+D229+D242+D247+D251+D262+D267+D273+D280)</f>
        <v>1457345.6199999999</v>
      </c>
      <c r="E176" s="118">
        <f>SUM(E181+E192+E223+E229+E242+E247+E251+E262+E267+E273+E280)</f>
        <v>1453433.92</v>
      </c>
      <c r="F176" s="118">
        <f>SUM(F181+F192+F223+F229+F242+F247+F251+F262+F267+F273)</f>
        <v>0</v>
      </c>
      <c r="G176" s="118">
        <f>SUM(G181+G192+G223+G229+G242+G247+G251+G262+G267+G273+G280)</f>
        <v>230142.80000000002</v>
      </c>
      <c r="H176" s="118">
        <f>SUM(H181+H192+H223+H229+H242+H247+H251+H262+H267+H273+H280)</f>
        <v>226231.1</v>
      </c>
      <c r="I176" s="96">
        <f>SUM(I229+I267+I280)</f>
        <v>-3911.7</v>
      </c>
      <c r="J176" s="21"/>
      <c r="K176" s="21"/>
      <c r="L176" s="118"/>
    </row>
    <row r="177" spans="1:12" s="8" customFormat="1" ht="15" customHeight="1">
      <c r="A177" s="103" t="s">
        <v>536</v>
      </c>
      <c r="B177" s="12" t="s">
        <v>603</v>
      </c>
      <c r="C177" s="186"/>
      <c r="D177" s="118">
        <f aca="true" t="shared" si="64" ref="D177:I177">SUM(D239)</f>
        <v>12697.4</v>
      </c>
      <c r="E177" s="118">
        <f t="shared" si="64"/>
        <v>12697.4</v>
      </c>
      <c r="F177" s="118">
        <f t="shared" si="64"/>
        <v>0</v>
      </c>
      <c r="G177" s="118">
        <f>SUM(G239)</f>
        <v>1700</v>
      </c>
      <c r="H177" s="118">
        <f>SUM(H239)</f>
        <v>1700</v>
      </c>
      <c r="I177" s="118">
        <f t="shared" si="64"/>
        <v>0</v>
      </c>
      <c r="J177" s="21"/>
      <c r="K177" s="21"/>
      <c r="L177" s="118"/>
    </row>
    <row r="178" spans="1:12" s="8" customFormat="1" ht="15" customHeight="1">
      <c r="A178" s="103"/>
      <c r="B178" s="12"/>
      <c r="C178" s="186"/>
      <c r="D178" s="117"/>
      <c r="E178" s="117"/>
      <c r="F178" s="117"/>
      <c r="G178" s="117"/>
      <c r="H178" s="117"/>
      <c r="I178" s="117"/>
      <c r="J178" s="22"/>
      <c r="K178" s="22"/>
      <c r="L178" s="117"/>
    </row>
    <row r="179" spans="1:12" s="39" customFormat="1" ht="84.75" customHeight="1" hidden="1">
      <c r="A179" s="104"/>
      <c r="B179" s="43" t="s">
        <v>332</v>
      </c>
      <c r="C179" s="195" t="s">
        <v>476</v>
      </c>
      <c r="D179" s="115">
        <f aca="true" t="shared" si="65" ref="D179:I179">SUM(D180:D181)</f>
        <v>13470.378</v>
      </c>
      <c r="E179" s="115">
        <f t="shared" si="65"/>
        <v>13470.378</v>
      </c>
      <c r="F179" s="115">
        <f t="shared" si="65"/>
        <v>0</v>
      </c>
      <c r="G179" s="115">
        <f t="shared" si="65"/>
        <v>970.378</v>
      </c>
      <c r="H179" s="115">
        <f t="shared" si="65"/>
        <v>970.378</v>
      </c>
      <c r="I179" s="115">
        <f t="shared" si="65"/>
        <v>0</v>
      </c>
      <c r="J179" s="214" t="s">
        <v>528</v>
      </c>
      <c r="K179" s="214" t="s">
        <v>528</v>
      </c>
      <c r="L179" s="214" t="s">
        <v>529</v>
      </c>
    </row>
    <row r="180" spans="1:12" s="8" customFormat="1" ht="15" customHeight="1" hidden="1">
      <c r="A180" s="103"/>
      <c r="B180" s="10" t="s">
        <v>600</v>
      </c>
      <c r="C180" s="186"/>
      <c r="D180" s="116">
        <f aca="true" t="shared" si="66" ref="D180:I180">SUM(D183:D188)</f>
        <v>13470.378</v>
      </c>
      <c r="E180" s="116">
        <f t="shared" si="66"/>
        <v>13470.378</v>
      </c>
      <c r="F180" s="155">
        <f t="shared" si="66"/>
        <v>0</v>
      </c>
      <c r="G180" s="116">
        <f t="shared" si="66"/>
        <v>970.378</v>
      </c>
      <c r="H180" s="155">
        <f t="shared" si="66"/>
        <v>970.378</v>
      </c>
      <c r="I180" s="155">
        <f t="shared" si="66"/>
        <v>0</v>
      </c>
      <c r="J180" s="19"/>
      <c r="K180" s="19"/>
      <c r="L180" s="155"/>
    </row>
    <row r="181" spans="1:12" s="8" customFormat="1" ht="15" customHeight="1" hidden="1">
      <c r="A181" s="103"/>
      <c r="B181" s="10" t="s">
        <v>602</v>
      </c>
      <c r="C181" s="186"/>
      <c r="D181" s="116"/>
      <c r="E181" s="116"/>
      <c r="F181" s="155"/>
      <c r="G181" s="116"/>
      <c r="H181" s="155"/>
      <c r="I181" s="155"/>
      <c r="J181" s="19"/>
      <c r="K181" s="19"/>
      <c r="L181" s="155"/>
    </row>
    <row r="182" spans="1:12" s="13" customFormat="1" ht="15" customHeight="1" hidden="1">
      <c r="A182" s="103"/>
      <c r="B182" s="12" t="s">
        <v>6</v>
      </c>
      <c r="C182" s="186"/>
      <c r="D182" s="154"/>
      <c r="E182" s="154"/>
      <c r="F182" s="154"/>
      <c r="G182" s="154"/>
      <c r="H182" s="154"/>
      <c r="I182" s="154"/>
      <c r="J182" s="20"/>
      <c r="K182" s="20"/>
      <c r="L182" s="154"/>
    </row>
    <row r="183" spans="1:12" s="8" customFormat="1" ht="15" customHeight="1" hidden="1">
      <c r="A183" s="103"/>
      <c r="B183" s="10" t="s">
        <v>16</v>
      </c>
      <c r="C183" s="186"/>
      <c r="D183" s="111"/>
      <c r="E183" s="111"/>
      <c r="F183" s="116">
        <f aca="true" t="shared" si="67" ref="F183:F188">E183-D183</f>
        <v>0</v>
      </c>
      <c r="G183" s="111"/>
      <c r="H183" s="121"/>
      <c r="I183" s="116">
        <f aca="true" t="shared" si="68" ref="I183:I188">H183-G183</f>
        <v>0</v>
      </c>
      <c r="J183" s="19"/>
      <c r="K183" s="19"/>
      <c r="L183" s="116"/>
    </row>
    <row r="184" spans="1:12" s="8" customFormat="1" ht="15" customHeight="1" hidden="1">
      <c r="A184" s="103"/>
      <c r="B184" s="10" t="s">
        <v>17</v>
      </c>
      <c r="C184" s="186"/>
      <c r="D184" s="116">
        <v>2000</v>
      </c>
      <c r="E184" s="116">
        <v>2000</v>
      </c>
      <c r="F184" s="116">
        <f t="shared" si="67"/>
        <v>0</v>
      </c>
      <c r="G184" s="116"/>
      <c r="H184" s="155"/>
      <c r="I184" s="116">
        <f t="shared" si="68"/>
        <v>0</v>
      </c>
      <c r="J184" s="19"/>
      <c r="K184" s="19"/>
      <c r="L184" s="116"/>
    </row>
    <row r="185" spans="1:12" s="8" customFormat="1" ht="15" customHeight="1" hidden="1">
      <c r="A185" s="103"/>
      <c r="B185" s="10" t="s">
        <v>15</v>
      </c>
      <c r="C185" s="186"/>
      <c r="D185" s="116">
        <v>3970.378</v>
      </c>
      <c r="E185" s="116">
        <v>3970.378</v>
      </c>
      <c r="F185" s="116">
        <f t="shared" si="67"/>
        <v>0</v>
      </c>
      <c r="G185" s="116">
        <v>970.378</v>
      </c>
      <c r="H185" s="155">
        <v>970.378</v>
      </c>
      <c r="I185" s="116">
        <f t="shared" si="68"/>
        <v>0</v>
      </c>
      <c r="J185" s="19"/>
      <c r="K185" s="19"/>
      <c r="L185" s="116"/>
    </row>
    <row r="186" spans="1:12" s="8" customFormat="1" ht="15" customHeight="1" hidden="1">
      <c r="A186" s="103"/>
      <c r="B186" s="10" t="s">
        <v>80</v>
      </c>
      <c r="C186" s="186"/>
      <c r="D186" s="116">
        <v>2500</v>
      </c>
      <c r="E186" s="116">
        <v>2500</v>
      </c>
      <c r="F186" s="116">
        <f t="shared" si="67"/>
        <v>0</v>
      </c>
      <c r="G186" s="116"/>
      <c r="H186" s="155"/>
      <c r="I186" s="116">
        <f t="shared" si="68"/>
        <v>0</v>
      </c>
      <c r="J186" s="19"/>
      <c r="K186" s="19"/>
      <c r="L186" s="116"/>
    </row>
    <row r="187" spans="1:12" s="8" customFormat="1" ht="15" customHeight="1" hidden="1">
      <c r="A187" s="103"/>
      <c r="B187" s="10" t="s">
        <v>385</v>
      </c>
      <c r="C187" s="186"/>
      <c r="D187" s="116">
        <v>2000</v>
      </c>
      <c r="E187" s="116">
        <v>2000</v>
      </c>
      <c r="F187" s="116">
        <f t="shared" si="67"/>
        <v>0</v>
      </c>
      <c r="G187" s="116"/>
      <c r="H187" s="155"/>
      <c r="I187" s="116">
        <f t="shared" si="68"/>
        <v>0</v>
      </c>
      <c r="J187" s="19"/>
      <c r="K187" s="19"/>
      <c r="L187" s="116"/>
    </row>
    <row r="188" spans="1:12" s="8" customFormat="1" ht="15" customHeight="1" hidden="1">
      <c r="A188" s="103"/>
      <c r="B188" s="10" t="s">
        <v>81</v>
      </c>
      <c r="C188" s="186"/>
      <c r="D188" s="116">
        <v>3000</v>
      </c>
      <c r="E188" s="116">
        <v>3000</v>
      </c>
      <c r="F188" s="116">
        <f t="shared" si="67"/>
        <v>0</v>
      </c>
      <c r="G188" s="116"/>
      <c r="H188" s="155"/>
      <c r="I188" s="116">
        <f t="shared" si="68"/>
        <v>0</v>
      </c>
      <c r="J188" s="19"/>
      <c r="K188" s="19"/>
      <c r="L188" s="116"/>
    </row>
    <row r="189" spans="1:12" s="8" customFormat="1" ht="15" customHeight="1" hidden="1">
      <c r="A189" s="103"/>
      <c r="B189" s="10"/>
      <c r="C189" s="186"/>
      <c r="D189" s="116"/>
      <c r="E189" s="116"/>
      <c r="F189" s="155"/>
      <c r="G189" s="116"/>
      <c r="H189" s="155"/>
      <c r="I189" s="155"/>
      <c r="J189" s="19"/>
      <c r="K189" s="19"/>
      <c r="L189" s="155"/>
    </row>
    <row r="190" spans="1:12" s="39" customFormat="1" ht="200.25" customHeight="1">
      <c r="A190" s="103" t="s">
        <v>537</v>
      </c>
      <c r="B190" s="43" t="s">
        <v>333</v>
      </c>
      <c r="C190" s="196" t="s">
        <v>474</v>
      </c>
      <c r="D190" s="115">
        <v>53818.64</v>
      </c>
      <c r="E190" s="115">
        <v>52914.555</v>
      </c>
      <c r="F190" s="115">
        <f>E190-D190</f>
        <v>-904.0849999999991</v>
      </c>
      <c r="G190" s="114">
        <f>SUM(G191:G192)</f>
        <v>4359</v>
      </c>
      <c r="H190" s="114">
        <f>SUM(H191:H192)</f>
        <v>3454.915</v>
      </c>
      <c r="I190" s="114">
        <f>SUM(I191:I192)</f>
        <v>-904.085</v>
      </c>
      <c r="J190" s="214" t="s">
        <v>580</v>
      </c>
      <c r="K190" s="214" t="s">
        <v>580</v>
      </c>
      <c r="L190" s="214" t="s">
        <v>581</v>
      </c>
    </row>
    <row r="191" spans="1:12" s="8" customFormat="1" ht="15" customHeight="1">
      <c r="A191" s="103" t="s">
        <v>538</v>
      </c>
      <c r="B191" s="10" t="s">
        <v>600</v>
      </c>
      <c r="C191" s="186"/>
      <c r="D191" s="111">
        <v>51794.84</v>
      </c>
      <c r="E191" s="111">
        <v>50890.755</v>
      </c>
      <c r="F191" s="116">
        <f>E191-D191</f>
        <v>-904.0849999999991</v>
      </c>
      <c r="G191" s="95">
        <f>G194+G209</f>
        <v>4359</v>
      </c>
      <c r="H191" s="95">
        <f>H194+H209</f>
        <v>3454.915</v>
      </c>
      <c r="I191" s="116">
        <f>H191-G191</f>
        <v>-904.085</v>
      </c>
      <c r="J191" s="34"/>
      <c r="K191" s="34"/>
      <c r="L191" s="95"/>
    </row>
    <row r="192" spans="1:12" s="8" customFormat="1" ht="15" customHeight="1">
      <c r="A192" s="103" t="s">
        <v>539</v>
      </c>
      <c r="B192" s="10" t="s">
        <v>602</v>
      </c>
      <c r="C192" s="186"/>
      <c r="D192" s="116">
        <v>2023.8</v>
      </c>
      <c r="E192" s="116">
        <v>2023.8</v>
      </c>
      <c r="F192" s="116">
        <f>E192-D192</f>
        <v>0</v>
      </c>
      <c r="G192" s="116"/>
      <c r="H192" s="117"/>
      <c r="I192" s="117"/>
      <c r="J192" s="22"/>
      <c r="K192" s="22"/>
      <c r="L192" s="117"/>
    </row>
    <row r="193" spans="1:12" s="39" customFormat="1" ht="15" customHeight="1">
      <c r="A193" s="100"/>
      <c r="B193" s="94" t="s">
        <v>92</v>
      </c>
      <c r="C193" s="186"/>
      <c r="D193" s="114">
        <f aca="true" t="shared" si="69" ref="D193:I193">SUM(D195:D208)</f>
        <v>49804.44</v>
      </c>
      <c r="E193" s="114">
        <f t="shared" si="69"/>
        <v>48900.35799999999</v>
      </c>
      <c r="F193" s="114">
        <f t="shared" si="69"/>
        <v>-904.082</v>
      </c>
      <c r="G193" s="114">
        <f t="shared" si="69"/>
        <v>2400</v>
      </c>
      <c r="H193" s="114">
        <f t="shared" si="69"/>
        <v>1495.9180000000001</v>
      </c>
      <c r="I193" s="114">
        <f t="shared" si="69"/>
        <v>-904.082</v>
      </c>
      <c r="J193" s="35"/>
      <c r="K193" s="35"/>
      <c r="L193" s="114"/>
    </row>
    <row r="194" spans="1:12" s="13" customFormat="1" ht="20.25" customHeight="1">
      <c r="A194" s="100"/>
      <c r="B194" s="12" t="s">
        <v>93</v>
      </c>
      <c r="C194" s="190"/>
      <c r="D194" s="154">
        <v>47780.64</v>
      </c>
      <c r="E194" s="154">
        <v>46876.558</v>
      </c>
      <c r="F194" s="154">
        <f>F193</f>
        <v>-904.082</v>
      </c>
      <c r="G194" s="154">
        <f>G193</f>
        <v>2400</v>
      </c>
      <c r="H194" s="153">
        <f>H193</f>
        <v>1495.9180000000001</v>
      </c>
      <c r="I194" s="154">
        <f>I193</f>
        <v>-904.082</v>
      </c>
      <c r="J194" s="20"/>
      <c r="K194" s="20"/>
      <c r="L194" s="154"/>
    </row>
    <row r="195" spans="1:12" s="13" customFormat="1" ht="15" customHeight="1" hidden="1">
      <c r="A195" s="103"/>
      <c r="B195" s="28" t="s">
        <v>448</v>
      </c>
      <c r="C195" s="186"/>
      <c r="D195" s="166">
        <v>5662.944</v>
      </c>
      <c r="E195" s="166">
        <f>2785.291+2877.653</f>
        <v>5662.9439999999995</v>
      </c>
      <c r="F195" s="116">
        <f>E195-D195</f>
        <v>0</v>
      </c>
      <c r="G195" s="154"/>
      <c r="H195" s="153"/>
      <c r="I195" s="116">
        <f aca="true" t="shared" si="70" ref="I195:I208">H195-G195</f>
        <v>0</v>
      </c>
      <c r="J195" s="20"/>
      <c r="K195" s="20"/>
      <c r="L195" s="116"/>
    </row>
    <row r="196" spans="1:12" s="13" customFormat="1" ht="15" customHeight="1" hidden="1">
      <c r="A196" s="103"/>
      <c r="B196" s="28" t="s">
        <v>82</v>
      </c>
      <c r="C196" s="186"/>
      <c r="D196" s="166">
        <v>1998.382</v>
      </c>
      <c r="E196" s="166">
        <v>1998.382</v>
      </c>
      <c r="F196" s="116">
        <f aca="true" t="shared" si="71" ref="F196:F208">E196-D196</f>
        <v>0</v>
      </c>
      <c r="G196" s="154"/>
      <c r="H196" s="153"/>
      <c r="I196" s="116">
        <f t="shared" si="70"/>
        <v>0</v>
      </c>
      <c r="J196" s="20"/>
      <c r="K196" s="20"/>
      <c r="L196" s="116"/>
    </row>
    <row r="197" spans="1:12" s="8" customFormat="1" ht="15.75" hidden="1">
      <c r="A197" s="103"/>
      <c r="B197" s="32" t="s">
        <v>18</v>
      </c>
      <c r="C197" s="186"/>
      <c r="D197" s="116">
        <v>739</v>
      </c>
      <c r="E197" s="116">
        <v>739</v>
      </c>
      <c r="F197" s="116">
        <f t="shared" si="71"/>
        <v>0</v>
      </c>
      <c r="G197" s="116">
        <v>274</v>
      </c>
      <c r="H197" s="121">
        <v>274</v>
      </c>
      <c r="I197" s="116">
        <f t="shared" si="70"/>
        <v>0</v>
      </c>
      <c r="J197" s="19"/>
      <c r="K197" s="19"/>
      <c r="L197" s="116"/>
    </row>
    <row r="198" spans="1:12" s="8" customFormat="1" ht="15.75" hidden="1">
      <c r="A198" s="103"/>
      <c r="B198" s="32" t="s">
        <v>19</v>
      </c>
      <c r="C198" s="186"/>
      <c r="D198" s="116">
        <v>12531.314</v>
      </c>
      <c r="E198" s="116">
        <v>12531.314</v>
      </c>
      <c r="F198" s="116">
        <f t="shared" si="71"/>
        <v>0</v>
      </c>
      <c r="G198" s="116"/>
      <c r="H198" s="121"/>
      <c r="I198" s="116">
        <f t="shared" si="70"/>
        <v>0</v>
      </c>
      <c r="J198" s="19"/>
      <c r="K198" s="19"/>
      <c r="L198" s="116"/>
    </row>
    <row r="199" spans="1:12" s="8" customFormat="1" ht="15.75" hidden="1">
      <c r="A199" s="103"/>
      <c r="B199" s="32" t="s">
        <v>11</v>
      </c>
      <c r="C199" s="186"/>
      <c r="D199" s="111">
        <v>909</v>
      </c>
      <c r="E199" s="111">
        <v>909</v>
      </c>
      <c r="F199" s="116">
        <f t="shared" si="71"/>
        <v>0</v>
      </c>
      <c r="G199" s="111"/>
      <c r="H199" s="121"/>
      <c r="I199" s="116">
        <f t="shared" si="70"/>
        <v>0</v>
      </c>
      <c r="J199" s="19"/>
      <c r="K199" s="19"/>
      <c r="L199" s="116"/>
    </row>
    <row r="200" spans="1:12" s="8" customFormat="1" ht="31.5" hidden="1">
      <c r="A200" s="103"/>
      <c r="B200" s="32" t="s">
        <v>386</v>
      </c>
      <c r="C200" s="186"/>
      <c r="D200" s="111">
        <v>3387.8</v>
      </c>
      <c r="E200" s="111">
        <v>3387.8</v>
      </c>
      <c r="F200" s="116">
        <f t="shared" si="71"/>
        <v>0</v>
      </c>
      <c r="G200" s="111"/>
      <c r="H200" s="121"/>
      <c r="I200" s="116">
        <f t="shared" si="70"/>
        <v>0</v>
      </c>
      <c r="J200" s="19"/>
      <c r="K200" s="19"/>
      <c r="L200" s="116"/>
    </row>
    <row r="201" spans="1:12" s="8" customFormat="1" ht="15" customHeight="1" hidden="1">
      <c r="A201" s="103"/>
      <c r="B201" s="32" t="s">
        <v>83</v>
      </c>
      <c r="C201" s="186"/>
      <c r="D201" s="111">
        <v>5000</v>
      </c>
      <c r="E201" s="111">
        <v>5000</v>
      </c>
      <c r="F201" s="116">
        <f t="shared" si="71"/>
        <v>0</v>
      </c>
      <c r="G201" s="111"/>
      <c r="H201" s="121"/>
      <c r="I201" s="116">
        <f t="shared" si="70"/>
        <v>0</v>
      </c>
      <c r="J201" s="19"/>
      <c r="K201" s="19"/>
      <c r="L201" s="116"/>
    </row>
    <row r="202" spans="1:12" s="8" customFormat="1" ht="15" customHeight="1">
      <c r="A202" s="103" t="s">
        <v>540</v>
      </c>
      <c r="B202" s="32" t="s">
        <v>449</v>
      </c>
      <c r="C202" s="186"/>
      <c r="D202" s="111">
        <f>800+500+26</f>
        <v>1326</v>
      </c>
      <c r="E202" s="111">
        <f>1300+26-450.346</f>
        <v>875.654</v>
      </c>
      <c r="F202" s="116">
        <f t="shared" si="71"/>
        <v>-450.346</v>
      </c>
      <c r="G202" s="111">
        <v>1326</v>
      </c>
      <c r="H202" s="121">
        <v>875.654</v>
      </c>
      <c r="I202" s="116">
        <f t="shared" si="70"/>
        <v>-450.346</v>
      </c>
      <c r="J202" s="19"/>
      <c r="K202" s="19"/>
      <c r="L202" s="116"/>
    </row>
    <row r="203" spans="1:12" s="8" customFormat="1" ht="15" customHeight="1">
      <c r="A203" s="103" t="s">
        <v>541</v>
      </c>
      <c r="B203" s="10" t="s">
        <v>375</v>
      </c>
      <c r="C203" s="186"/>
      <c r="D203" s="111">
        <v>800</v>
      </c>
      <c r="E203" s="111">
        <f>800-453.736</f>
        <v>346.264</v>
      </c>
      <c r="F203" s="116">
        <f t="shared" si="71"/>
        <v>-453.736</v>
      </c>
      <c r="G203" s="111">
        <v>800</v>
      </c>
      <c r="H203" s="121">
        <v>346.264</v>
      </c>
      <c r="I203" s="116">
        <f t="shared" si="70"/>
        <v>-453.736</v>
      </c>
      <c r="J203" s="19"/>
      <c r="K203" s="19"/>
      <c r="L203" s="116"/>
    </row>
    <row r="204" spans="1:12" s="8" customFormat="1" ht="15" customHeight="1" hidden="1">
      <c r="A204" s="103"/>
      <c r="B204" s="10" t="s">
        <v>387</v>
      </c>
      <c r="C204" s="186"/>
      <c r="D204" s="111">
        <v>4000</v>
      </c>
      <c r="E204" s="111">
        <v>4000</v>
      </c>
      <c r="F204" s="116">
        <f t="shared" si="71"/>
        <v>0</v>
      </c>
      <c r="G204" s="111"/>
      <c r="H204" s="121"/>
      <c r="I204" s="116">
        <f t="shared" si="70"/>
        <v>0</v>
      </c>
      <c r="J204" s="19"/>
      <c r="K204" s="19"/>
      <c r="L204" s="116"/>
    </row>
    <row r="205" spans="1:12" s="8" customFormat="1" ht="15" customHeight="1" hidden="1">
      <c r="A205" s="103"/>
      <c r="B205" s="10" t="s">
        <v>54</v>
      </c>
      <c r="C205" s="186"/>
      <c r="D205" s="111">
        <v>3000</v>
      </c>
      <c r="E205" s="111">
        <v>3000</v>
      </c>
      <c r="F205" s="116">
        <f t="shared" si="71"/>
        <v>0</v>
      </c>
      <c r="G205" s="111"/>
      <c r="H205" s="121"/>
      <c r="I205" s="116">
        <f t="shared" si="70"/>
        <v>0</v>
      </c>
      <c r="J205" s="19"/>
      <c r="K205" s="19"/>
      <c r="L205" s="116"/>
    </row>
    <row r="206" spans="1:12" s="8" customFormat="1" ht="15" customHeight="1" hidden="1">
      <c r="A206" s="103"/>
      <c r="B206" s="10" t="s">
        <v>388</v>
      </c>
      <c r="C206" s="186"/>
      <c r="D206" s="111">
        <v>5000</v>
      </c>
      <c r="E206" s="111">
        <v>5000</v>
      </c>
      <c r="F206" s="116">
        <f>E206-D206</f>
        <v>0</v>
      </c>
      <c r="G206" s="111"/>
      <c r="H206" s="121"/>
      <c r="I206" s="116">
        <f>H206-G206</f>
        <v>0</v>
      </c>
      <c r="J206" s="19"/>
      <c r="K206" s="19"/>
      <c r="L206" s="116"/>
    </row>
    <row r="207" spans="1:12" s="8" customFormat="1" ht="15" customHeight="1" hidden="1">
      <c r="A207" s="103"/>
      <c r="B207" s="10" t="s">
        <v>500</v>
      </c>
      <c r="C207" s="186"/>
      <c r="D207" s="111">
        <v>4800</v>
      </c>
      <c r="E207" s="111">
        <v>4800</v>
      </c>
      <c r="F207" s="116">
        <f t="shared" si="71"/>
        <v>0</v>
      </c>
      <c r="G207" s="111"/>
      <c r="H207" s="121"/>
      <c r="I207" s="116">
        <f t="shared" si="70"/>
        <v>0</v>
      </c>
      <c r="J207" s="19"/>
      <c r="K207" s="19"/>
      <c r="L207" s="116"/>
    </row>
    <row r="208" spans="1:12" s="8" customFormat="1" ht="15" customHeight="1" hidden="1">
      <c r="A208" s="103"/>
      <c r="B208" s="10" t="s">
        <v>4</v>
      </c>
      <c r="C208" s="186"/>
      <c r="D208" s="111">
        <v>650</v>
      </c>
      <c r="E208" s="111">
        <v>650</v>
      </c>
      <c r="F208" s="116">
        <f t="shared" si="71"/>
        <v>0</v>
      </c>
      <c r="G208" s="111"/>
      <c r="H208" s="121"/>
      <c r="I208" s="116">
        <f t="shared" si="70"/>
        <v>0</v>
      </c>
      <c r="J208" s="19"/>
      <c r="K208" s="19"/>
      <c r="L208" s="116"/>
    </row>
    <row r="209" spans="1:12" s="7" customFormat="1" ht="48" customHeight="1">
      <c r="A209" s="103"/>
      <c r="B209" s="93" t="s">
        <v>91</v>
      </c>
      <c r="C209" s="186"/>
      <c r="D209" s="114">
        <f aca="true" t="shared" si="72" ref="D209:I209">SUM(D210:D218)</f>
        <v>4014.2</v>
      </c>
      <c r="E209" s="114">
        <f t="shared" si="72"/>
        <v>4014.1969999999997</v>
      </c>
      <c r="F209" s="114">
        <f t="shared" si="72"/>
        <v>-0.0030000000000427463</v>
      </c>
      <c r="G209" s="114">
        <f t="shared" si="72"/>
        <v>1959</v>
      </c>
      <c r="H209" s="114">
        <f t="shared" si="72"/>
        <v>1958.9969999999998</v>
      </c>
      <c r="I209" s="114">
        <f t="shared" si="72"/>
        <v>-0.0030000000000427463</v>
      </c>
      <c r="J209" s="35"/>
      <c r="K209" s="35"/>
      <c r="L209" s="114"/>
    </row>
    <row r="210" spans="1:12" s="8" customFormat="1" ht="15" customHeight="1" hidden="1">
      <c r="A210" s="99"/>
      <c r="B210" s="11" t="s">
        <v>84</v>
      </c>
      <c r="C210" s="186"/>
      <c r="D210" s="111">
        <v>800</v>
      </c>
      <c r="E210" s="111">
        <v>800</v>
      </c>
      <c r="F210" s="116">
        <f aca="true" t="shared" si="73" ref="F210:F218">E210-D210</f>
        <v>0</v>
      </c>
      <c r="G210" s="111"/>
      <c r="H210" s="121"/>
      <c r="I210" s="116">
        <f aca="true" t="shared" si="74" ref="I210:I218">H210-G210</f>
        <v>0</v>
      </c>
      <c r="J210" s="19"/>
      <c r="K210" s="19"/>
      <c r="L210" s="116"/>
    </row>
    <row r="211" spans="1:12" s="8" customFormat="1" ht="15" customHeight="1" hidden="1">
      <c r="A211" s="99"/>
      <c r="B211" s="11" t="s">
        <v>85</v>
      </c>
      <c r="C211" s="186"/>
      <c r="D211" s="111">
        <v>824</v>
      </c>
      <c r="E211" s="111">
        <f>850-26</f>
        <v>824</v>
      </c>
      <c r="F211" s="116">
        <f t="shared" si="73"/>
        <v>0</v>
      </c>
      <c r="G211" s="111">
        <v>374</v>
      </c>
      <c r="H211" s="121">
        <v>374</v>
      </c>
      <c r="I211" s="116">
        <f t="shared" si="74"/>
        <v>0</v>
      </c>
      <c r="J211" s="19"/>
      <c r="K211" s="19"/>
      <c r="L211" s="116"/>
    </row>
    <row r="212" spans="1:12" s="8" customFormat="1" ht="15" customHeight="1" hidden="1">
      <c r="A212" s="99"/>
      <c r="B212" s="11" t="s">
        <v>15</v>
      </c>
      <c r="C212" s="186"/>
      <c r="D212" s="111">
        <v>785</v>
      </c>
      <c r="E212" s="111">
        <v>785</v>
      </c>
      <c r="F212" s="116">
        <f t="shared" si="73"/>
        <v>0</v>
      </c>
      <c r="G212" s="111">
        <v>785</v>
      </c>
      <c r="H212" s="121">
        <v>785</v>
      </c>
      <c r="I212" s="116">
        <f>H212-G212</f>
        <v>0</v>
      </c>
      <c r="J212" s="19"/>
      <c r="K212" s="19"/>
      <c r="L212" s="116"/>
    </row>
    <row r="213" spans="1:12" s="8" customFormat="1" ht="15" customHeight="1" hidden="1">
      <c r="A213" s="99"/>
      <c r="B213" s="11" t="s">
        <v>86</v>
      </c>
      <c r="C213" s="186"/>
      <c r="D213" s="111"/>
      <c r="E213" s="111"/>
      <c r="F213" s="116">
        <f t="shared" si="73"/>
        <v>0</v>
      </c>
      <c r="G213" s="111"/>
      <c r="H213" s="121"/>
      <c r="I213" s="116">
        <f t="shared" si="74"/>
        <v>0</v>
      </c>
      <c r="J213" s="19"/>
      <c r="K213" s="19"/>
      <c r="L213" s="116"/>
    </row>
    <row r="214" spans="1:12" s="8" customFormat="1" ht="15" customHeight="1" hidden="1">
      <c r="A214" s="99"/>
      <c r="B214" s="90" t="s">
        <v>389</v>
      </c>
      <c r="C214" s="186"/>
      <c r="D214" s="124">
        <v>550</v>
      </c>
      <c r="E214" s="124">
        <v>550</v>
      </c>
      <c r="F214" s="116">
        <f t="shared" si="73"/>
        <v>0</v>
      </c>
      <c r="G214" s="124"/>
      <c r="H214" s="124"/>
      <c r="I214" s="116">
        <f t="shared" si="74"/>
        <v>0</v>
      </c>
      <c r="J214" s="19"/>
      <c r="K214" s="19"/>
      <c r="L214" s="116"/>
    </row>
    <row r="215" spans="1:12" s="8" customFormat="1" ht="15" customHeight="1">
      <c r="A215" s="99" t="s">
        <v>542</v>
      </c>
      <c r="B215" s="11" t="s">
        <v>20</v>
      </c>
      <c r="C215" s="186"/>
      <c r="D215" s="111">
        <v>800</v>
      </c>
      <c r="E215" s="111">
        <f>800-0.003</f>
        <v>799.997</v>
      </c>
      <c r="F215" s="116">
        <f t="shared" si="73"/>
        <v>-0.0030000000000427463</v>
      </c>
      <c r="G215" s="111">
        <v>800</v>
      </c>
      <c r="H215" s="121">
        <v>799.997</v>
      </c>
      <c r="I215" s="116">
        <f t="shared" si="74"/>
        <v>-0.0030000000000427463</v>
      </c>
      <c r="J215" s="19"/>
      <c r="K215" s="19"/>
      <c r="L215" s="116"/>
    </row>
    <row r="216" spans="1:12" s="8" customFormat="1" ht="15" customHeight="1" hidden="1">
      <c r="A216" s="99"/>
      <c r="B216" s="11" t="s">
        <v>56</v>
      </c>
      <c r="C216" s="186"/>
      <c r="D216" s="111">
        <v>255.2</v>
      </c>
      <c r="E216" s="111">
        <v>255.2</v>
      </c>
      <c r="F216" s="116">
        <f t="shared" si="73"/>
        <v>0</v>
      </c>
      <c r="G216" s="111"/>
      <c r="H216" s="121"/>
      <c r="I216" s="116">
        <f t="shared" si="74"/>
        <v>0</v>
      </c>
      <c r="J216" s="19"/>
      <c r="K216" s="19"/>
      <c r="L216" s="116"/>
    </row>
    <row r="217" spans="1:12" s="8" customFormat="1" ht="15" customHeight="1" hidden="1">
      <c r="A217" s="99"/>
      <c r="B217" s="11" t="s">
        <v>57</v>
      </c>
      <c r="C217" s="186"/>
      <c r="D217" s="111"/>
      <c r="E217" s="111"/>
      <c r="F217" s="116">
        <f t="shared" si="73"/>
        <v>0</v>
      </c>
      <c r="G217" s="111"/>
      <c r="H217" s="121"/>
      <c r="I217" s="116">
        <f t="shared" si="74"/>
        <v>0</v>
      </c>
      <c r="J217" s="19"/>
      <c r="K217" s="19"/>
      <c r="L217" s="116"/>
    </row>
    <row r="218" spans="1:12" s="8" customFormat="1" ht="15" customHeight="1" hidden="1">
      <c r="A218" s="99"/>
      <c r="B218" s="11" t="s">
        <v>87</v>
      </c>
      <c r="C218" s="186"/>
      <c r="D218" s="111"/>
      <c r="E218" s="111"/>
      <c r="F218" s="116">
        <f t="shared" si="73"/>
        <v>0</v>
      </c>
      <c r="G218" s="111"/>
      <c r="H218" s="121"/>
      <c r="I218" s="116">
        <f t="shared" si="74"/>
        <v>0</v>
      </c>
      <c r="J218" s="19"/>
      <c r="K218" s="19"/>
      <c r="L218" s="116"/>
    </row>
    <row r="219" spans="1:12" s="8" customFormat="1" ht="15" customHeight="1" hidden="1">
      <c r="A219" s="104"/>
      <c r="B219" s="5"/>
      <c r="C219" s="186"/>
      <c r="D219" s="116"/>
      <c r="E219" s="116"/>
      <c r="F219" s="155"/>
      <c r="G219" s="116"/>
      <c r="H219" s="121"/>
      <c r="I219" s="155"/>
      <c r="J219" s="19"/>
      <c r="K219" s="19"/>
      <c r="L219" s="155"/>
    </row>
    <row r="220" spans="1:12" s="7" customFormat="1" ht="108" customHeight="1" hidden="1">
      <c r="A220" s="104"/>
      <c r="B220" s="42" t="s">
        <v>334</v>
      </c>
      <c r="C220" s="197" t="s">
        <v>477</v>
      </c>
      <c r="D220" s="115">
        <f aca="true" t="shared" si="75" ref="D220:I220">SUM(D221:D223)</f>
        <v>2694.4</v>
      </c>
      <c r="E220" s="115">
        <f t="shared" si="75"/>
        <v>2694.4</v>
      </c>
      <c r="F220" s="115">
        <f t="shared" si="75"/>
        <v>0</v>
      </c>
      <c r="G220" s="115">
        <f t="shared" si="75"/>
        <v>0</v>
      </c>
      <c r="H220" s="115">
        <f t="shared" si="75"/>
        <v>0</v>
      </c>
      <c r="I220" s="115">
        <f t="shared" si="75"/>
        <v>0</v>
      </c>
      <c r="J220" s="115"/>
      <c r="K220" s="115"/>
      <c r="L220" s="115"/>
    </row>
    <row r="221" spans="1:12" s="8" customFormat="1" ht="15" customHeight="1" hidden="1">
      <c r="A221" s="103"/>
      <c r="B221" s="10" t="s">
        <v>600</v>
      </c>
      <c r="C221" s="186"/>
      <c r="D221" s="116">
        <v>700</v>
      </c>
      <c r="E221" s="116">
        <v>700</v>
      </c>
      <c r="F221" s="116">
        <f aca="true" t="shared" si="76" ref="F221:F226">E221-D221</f>
        <v>0</v>
      </c>
      <c r="G221" s="116"/>
      <c r="H221" s="155"/>
      <c r="I221" s="116">
        <f aca="true" t="shared" si="77" ref="I221:I226">H221-G221</f>
        <v>0</v>
      </c>
      <c r="J221" s="19"/>
      <c r="K221" s="19"/>
      <c r="L221" s="116"/>
    </row>
    <row r="222" spans="1:12" s="8" customFormat="1" ht="15" customHeight="1" hidden="1">
      <c r="A222" s="103"/>
      <c r="B222" s="10" t="s">
        <v>601</v>
      </c>
      <c r="C222" s="186"/>
      <c r="D222" s="116">
        <v>1396</v>
      </c>
      <c r="E222" s="116">
        <v>1396</v>
      </c>
      <c r="F222" s="116">
        <f t="shared" si="76"/>
        <v>0</v>
      </c>
      <c r="G222" s="116"/>
      <c r="H222" s="155"/>
      <c r="I222" s="116">
        <f t="shared" si="77"/>
        <v>0</v>
      </c>
      <c r="J222" s="19"/>
      <c r="K222" s="19"/>
      <c r="L222" s="116"/>
    </row>
    <row r="223" spans="1:12" s="8" customFormat="1" ht="15" customHeight="1" hidden="1">
      <c r="A223" s="103"/>
      <c r="B223" s="12" t="s">
        <v>602</v>
      </c>
      <c r="C223" s="186"/>
      <c r="D223" s="116">
        <v>598.4</v>
      </c>
      <c r="E223" s="116">
        <v>598.4</v>
      </c>
      <c r="F223" s="116">
        <f t="shared" si="76"/>
        <v>0</v>
      </c>
      <c r="G223" s="116"/>
      <c r="H223" s="155"/>
      <c r="I223" s="116">
        <f t="shared" si="77"/>
        <v>0</v>
      </c>
      <c r="J223" s="19"/>
      <c r="K223" s="19"/>
      <c r="L223" s="116"/>
    </row>
    <row r="224" spans="1:12" s="13" customFormat="1" ht="15" customHeight="1" hidden="1">
      <c r="A224" s="100"/>
      <c r="B224" s="12" t="s">
        <v>6</v>
      </c>
      <c r="C224" s="190"/>
      <c r="D224" s="154"/>
      <c r="E224" s="154"/>
      <c r="F224" s="116">
        <f t="shared" si="76"/>
        <v>0</v>
      </c>
      <c r="G224" s="154"/>
      <c r="H224" s="154"/>
      <c r="I224" s="116">
        <f t="shared" si="77"/>
        <v>0</v>
      </c>
      <c r="J224" s="20"/>
      <c r="K224" s="20"/>
      <c r="L224" s="116"/>
    </row>
    <row r="225" spans="1:12" s="8" customFormat="1" ht="15" customHeight="1" hidden="1">
      <c r="A225" s="103"/>
      <c r="B225" s="10" t="s">
        <v>20</v>
      </c>
      <c r="C225" s="186"/>
      <c r="D225" s="116">
        <v>1347.2</v>
      </c>
      <c r="E225" s="116">
        <v>1347.2</v>
      </c>
      <c r="F225" s="116">
        <f t="shared" si="76"/>
        <v>0</v>
      </c>
      <c r="G225" s="116"/>
      <c r="H225" s="155"/>
      <c r="I225" s="116">
        <f t="shared" si="77"/>
        <v>0</v>
      </c>
      <c r="J225" s="19"/>
      <c r="K225" s="19"/>
      <c r="L225" s="116"/>
    </row>
    <row r="226" spans="1:12" s="8" customFormat="1" ht="15" customHeight="1" hidden="1">
      <c r="A226" s="103"/>
      <c r="B226" s="10" t="s">
        <v>57</v>
      </c>
      <c r="C226" s="186"/>
      <c r="D226" s="116">
        <v>1347.2</v>
      </c>
      <c r="E226" s="116">
        <v>1347.2</v>
      </c>
      <c r="F226" s="116">
        <f t="shared" si="76"/>
        <v>0</v>
      </c>
      <c r="G226" s="116"/>
      <c r="H226" s="155"/>
      <c r="I226" s="116">
        <f t="shared" si="77"/>
        <v>0</v>
      </c>
      <c r="J226" s="19"/>
      <c r="K226" s="19"/>
      <c r="L226" s="116"/>
    </row>
    <row r="227" spans="1:12" s="8" customFormat="1" ht="15" customHeight="1" hidden="1">
      <c r="A227" s="103"/>
      <c r="B227" s="10"/>
      <c r="C227" s="186"/>
      <c r="D227" s="116"/>
      <c r="E227" s="116"/>
      <c r="F227" s="155"/>
      <c r="G227" s="116"/>
      <c r="H227" s="155"/>
      <c r="I227" s="155"/>
      <c r="J227" s="19"/>
      <c r="K227" s="19"/>
      <c r="L227" s="155"/>
    </row>
    <row r="228" spans="1:12" s="7" customFormat="1" ht="354" customHeight="1" hidden="1">
      <c r="A228" s="104"/>
      <c r="B228" s="38" t="s">
        <v>335</v>
      </c>
      <c r="C228" s="197" t="s">
        <v>431</v>
      </c>
      <c r="D228" s="115">
        <f aca="true" t="shared" si="78" ref="D228:I228">SUM(D229)</f>
        <v>1406327.2</v>
      </c>
      <c r="E228" s="115">
        <f t="shared" si="78"/>
        <v>1406327.2</v>
      </c>
      <c r="F228" s="115">
        <f t="shared" si="78"/>
        <v>0</v>
      </c>
      <c r="G228" s="115">
        <f t="shared" si="78"/>
        <v>210912.2</v>
      </c>
      <c r="H228" s="115">
        <f t="shared" si="78"/>
        <v>210912.2</v>
      </c>
      <c r="I228" s="115">
        <f t="shared" si="78"/>
        <v>0</v>
      </c>
      <c r="J228" s="214" t="s">
        <v>443</v>
      </c>
      <c r="K228" s="214" t="s">
        <v>441</v>
      </c>
      <c r="L228" s="214" t="s">
        <v>442</v>
      </c>
    </row>
    <row r="229" spans="1:12" s="8" customFormat="1" ht="15" customHeight="1" hidden="1">
      <c r="A229" s="103"/>
      <c r="B229" s="10" t="s">
        <v>602</v>
      </c>
      <c r="C229" s="186"/>
      <c r="D229" s="124">
        <f>1405102+1225.2</f>
        <v>1406327.2</v>
      </c>
      <c r="E229" s="111">
        <f>1405102+1225.2</f>
        <v>1406327.2</v>
      </c>
      <c r="F229" s="116">
        <f>E229-D229</f>
        <v>0</v>
      </c>
      <c r="G229" s="111">
        <v>210912.2</v>
      </c>
      <c r="H229" s="95">
        <v>210912.2</v>
      </c>
      <c r="I229" s="111"/>
      <c r="J229" s="34"/>
      <c r="K229" s="34"/>
      <c r="L229" s="111"/>
    </row>
    <row r="230" spans="1:12" s="8" customFormat="1" ht="15" customHeight="1">
      <c r="A230" s="103"/>
      <c r="B230" s="10"/>
      <c r="C230" s="186"/>
      <c r="D230" s="111"/>
      <c r="E230" s="111"/>
      <c r="F230" s="95"/>
      <c r="G230" s="111"/>
      <c r="H230" s="95"/>
      <c r="I230" s="95"/>
      <c r="J230" s="34"/>
      <c r="K230" s="34"/>
      <c r="L230" s="95"/>
    </row>
    <row r="231" spans="1:12" s="7" customFormat="1" ht="360" customHeight="1">
      <c r="A231" s="103" t="s">
        <v>543</v>
      </c>
      <c r="B231" s="37" t="s">
        <v>340</v>
      </c>
      <c r="C231" s="197" t="s">
        <v>446</v>
      </c>
      <c r="D231" s="114">
        <f aca="true" t="shared" si="79" ref="D231:I231">SUM(D232)</f>
        <v>655306.059</v>
      </c>
      <c r="E231" s="114">
        <f t="shared" si="79"/>
        <v>655218.375</v>
      </c>
      <c r="F231" s="114">
        <f t="shared" si="79"/>
        <v>-87.68400000000838</v>
      </c>
      <c r="G231" s="114">
        <f t="shared" si="79"/>
        <v>57545.385</v>
      </c>
      <c r="H231" s="114">
        <f t="shared" si="79"/>
        <v>57457.701</v>
      </c>
      <c r="I231" s="114">
        <f t="shared" si="79"/>
        <v>-87.6840000000011</v>
      </c>
      <c r="J231" s="214" t="s">
        <v>443</v>
      </c>
      <c r="K231" s="214" t="s">
        <v>441</v>
      </c>
      <c r="L231" s="214" t="s">
        <v>442</v>
      </c>
    </row>
    <row r="232" spans="1:12" s="8" customFormat="1" ht="15" customHeight="1">
      <c r="A232" s="103" t="s">
        <v>544</v>
      </c>
      <c r="B232" s="12" t="s">
        <v>600</v>
      </c>
      <c r="C232" s="186"/>
      <c r="D232" s="124">
        <v>655306.059</v>
      </c>
      <c r="E232" s="124">
        <v>655218.375</v>
      </c>
      <c r="F232" s="116">
        <f>E232-D232</f>
        <v>-87.68400000000838</v>
      </c>
      <c r="G232" s="124">
        <v>57545.385</v>
      </c>
      <c r="H232" s="124">
        <v>57457.701</v>
      </c>
      <c r="I232" s="116">
        <f>H232-G232</f>
        <v>-87.6840000000011</v>
      </c>
      <c r="J232" s="34"/>
      <c r="K232" s="34"/>
      <c r="L232" s="116"/>
    </row>
    <row r="233" spans="1:12" s="8" customFormat="1" ht="15" customHeight="1">
      <c r="A233" s="103"/>
      <c r="B233" s="12"/>
      <c r="C233" s="186"/>
      <c r="D233" s="158"/>
      <c r="E233" s="158"/>
      <c r="F233" s="96"/>
      <c r="G233" s="158"/>
      <c r="H233" s="96"/>
      <c r="I233" s="96"/>
      <c r="J233" s="33"/>
      <c r="K233" s="33"/>
      <c r="L233" s="96"/>
    </row>
    <row r="234" spans="1:12" s="8" customFormat="1" ht="135.75" customHeight="1">
      <c r="A234" s="104" t="s">
        <v>545</v>
      </c>
      <c r="B234" s="43" t="s">
        <v>336</v>
      </c>
      <c r="C234" s="195" t="s">
        <v>478</v>
      </c>
      <c r="D234" s="120">
        <f aca="true" t="shared" si="80" ref="D234:I234">SUM(D235+D239)</f>
        <v>266051.618</v>
      </c>
      <c r="E234" s="120">
        <f t="shared" si="80"/>
        <v>266696.618</v>
      </c>
      <c r="F234" s="120">
        <f t="shared" si="80"/>
        <v>645</v>
      </c>
      <c r="G234" s="120">
        <f t="shared" si="80"/>
        <v>31280</v>
      </c>
      <c r="H234" s="120">
        <f t="shared" si="80"/>
        <v>31925</v>
      </c>
      <c r="I234" s="120">
        <f t="shared" si="80"/>
        <v>645</v>
      </c>
      <c r="J234" s="214" t="s">
        <v>586</v>
      </c>
      <c r="K234" s="214" t="s">
        <v>586</v>
      </c>
      <c r="L234" s="214" t="s">
        <v>587</v>
      </c>
    </row>
    <row r="235" spans="1:12" s="8" customFormat="1" ht="15" customHeight="1">
      <c r="A235" s="103" t="s">
        <v>546</v>
      </c>
      <c r="B235" s="12" t="s">
        <v>600</v>
      </c>
      <c r="C235" s="186"/>
      <c r="D235" s="111">
        <f>SUM(D237:D238)</f>
        <v>253354.218</v>
      </c>
      <c r="E235" s="111">
        <f>SUM(E237:E238)</f>
        <v>253999.218</v>
      </c>
      <c r="F235" s="116">
        <f>E235-D235</f>
        <v>645</v>
      </c>
      <c r="G235" s="111">
        <f>SUM(G237:G238)</f>
        <v>29580</v>
      </c>
      <c r="H235" s="95">
        <f>SUM(H237:H238)</f>
        <v>30225</v>
      </c>
      <c r="I235" s="116">
        <f>H235-G235</f>
        <v>645</v>
      </c>
      <c r="J235" s="34"/>
      <c r="K235" s="34"/>
      <c r="L235" s="116"/>
    </row>
    <row r="236" spans="1:12" s="13" customFormat="1" ht="15" customHeight="1">
      <c r="A236" s="100"/>
      <c r="B236" s="12" t="s">
        <v>9</v>
      </c>
      <c r="C236" s="190"/>
      <c r="D236" s="153"/>
      <c r="E236" s="153"/>
      <c r="F236" s="153"/>
      <c r="G236" s="153"/>
      <c r="H236" s="153"/>
      <c r="I236" s="153"/>
      <c r="J236" s="30"/>
      <c r="K236" s="30"/>
      <c r="L236" s="153"/>
    </row>
    <row r="237" spans="1:12" s="8" customFormat="1" ht="26.25" customHeight="1">
      <c r="A237" s="103" t="s">
        <v>547</v>
      </c>
      <c r="B237" s="44" t="s">
        <v>8</v>
      </c>
      <c r="C237" s="186"/>
      <c r="D237" s="111">
        <v>220330.57</v>
      </c>
      <c r="E237" s="111">
        <f>220330.57-5+550+100</f>
        <v>220975.57</v>
      </c>
      <c r="F237" s="116">
        <f>E237-D237</f>
        <v>645</v>
      </c>
      <c r="G237" s="111">
        <v>29580</v>
      </c>
      <c r="H237" s="95">
        <v>30225</v>
      </c>
      <c r="I237" s="116">
        <f>H237-G237</f>
        <v>645</v>
      </c>
      <c r="J237" s="34"/>
      <c r="K237" s="34"/>
      <c r="L237" s="116"/>
    </row>
    <row r="238" spans="1:12" s="8" customFormat="1" ht="48.75" customHeight="1" hidden="1">
      <c r="A238" s="103"/>
      <c r="B238" s="45" t="s">
        <v>5</v>
      </c>
      <c r="C238" s="186"/>
      <c r="D238" s="116">
        <v>33023.648</v>
      </c>
      <c r="E238" s="116">
        <v>33023.648</v>
      </c>
      <c r="F238" s="117">
        <v>0</v>
      </c>
      <c r="G238" s="116"/>
      <c r="H238" s="117"/>
      <c r="I238" s="117">
        <v>0</v>
      </c>
      <c r="J238" s="22"/>
      <c r="K238" s="22"/>
      <c r="L238" s="117"/>
    </row>
    <row r="239" spans="1:12" s="8" customFormat="1" ht="15" customHeight="1" hidden="1">
      <c r="A239" s="103"/>
      <c r="B239" s="10" t="s">
        <v>603</v>
      </c>
      <c r="C239" s="186"/>
      <c r="D239" s="111">
        <v>12697.4</v>
      </c>
      <c r="E239" s="111">
        <v>12697.4</v>
      </c>
      <c r="F239" s="116">
        <f>E239-D239</f>
        <v>0</v>
      </c>
      <c r="G239" s="111">
        <v>1700</v>
      </c>
      <c r="H239" s="95">
        <v>1700</v>
      </c>
      <c r="I239" s="116">
        <f>H239-G239</f>
        <v>0</v>
      </c>
      <c r="J239" s="34"/>
      <c r="K239" s="34"/>
      <c r="L239" s="116"/>
    </row>
    <row r="240" spans="1:12" s="8" customFormat="1" ht="15" customHeight="1" hidden="1">
      <c r="A240" s="103"/>
      <c r="B240" s="10"/>
      <c r="C240" s="186"/>
      <c r="D240" s="152"/>
      <c r="E240" s="152"/>
      <c r="F240" s="118"/>
      <c r="G240" s="152"/>
      <c r="H240" s="118"/>
      <c r="I240" s="118"/>
      <c r="J240" s="21"/>
      <c r="K240" s="21"/>
      <c r="L240" s="118"/>
    </row>
    <row r="241" spans="1:12" s="14" customFormat="1" ht="81.75" customHeight="1" hidden="1">
      <c r="A241" s="102"/>
      <c r="B241" s="46" t="s">
        <v>337</v>
      </c>
      <c r="C241" s="196" t="s">
        <v>432</v>
      </c>
      <c r="D241" s="120">
        <f aca="true" t="shared" si="81" ref="D241:I241">SUM(D242)</f>
        <v>3124.8</v>
      </c>
      <c r="E241" s="120">
        <f t="shared" si="81"/>
        <v>3124.8</v>
      </c>
      <c r="F241" s="120">
        <f t="shared" si="81"/>
        <v>0</v>
      </c>
      <c r="G241" s="120">
        <f t="shared" si="81"/>
        <v>0</v>
      </c>
      <c r="H241" s="120">
        <f t="shared" si="81"/>
        <v>0</v>
      </c>
      <c r="I241" s="120">
        <f t="shared" si="81"/>
        <v>0</v>
      </c>
      <c r="J241" s="40"/>
      <c r="K241" s="40"/>
      <c r="L241" s="120"/>
    </row>
    <row r="242" spans="1:12" s="14" customFormat="1" ht="15" customHeight="1" hidden="1">
      <c r="A242" s="99"/>
      <c r="B242" s="28" t="s">
        <v>602</v>
      </c>
      <c r="C242" s="187"/>
      <c r="D242" s="111">
        <f>SUM(D244)</f>
        <v>3124.8</v>
      </c>
      <c r="E242" s="111">
        <f>SUM(E244)</f>
        <v>3124.8</v>
      </c>
      <c r="F242" s="116">
        <f>E242-D242</f>
        <v>0</v>
      </c>
      <c r="G242" s="111">
        <f>SUM(G244)</f>
        <v>0</v>
      </c>
      <c r="H242" s="95">
        <f>SUM(H244)</f>
        <v>0</v>
      </c>
      <c r="I242" s="116">
        <f>H242-G242</f>
        <v>0</v>
      </c>
      <c r="J242" s="34"/>
      <c r="K242" s="34"/>
      <c r="L242" s="116"/>
    </row>
    <row r="243" spans="1:12" s="31" customFormat="1" ht="15" customHeight="1" hidden="1">
      <c r="A243" s="101"/>
      <c r="B243" s="28" t="s">
        <v>9</v>
      </c>
      <c r="C243" s="189"/>
      <c r="D243" s="153"/>
      <c r="E243" s="153"/>
      <c r="F243" s="153"/>
      <c r="G243" s="153"/>
      <c r="H243" s="153"/>
      <c r="I243" s="153"/>
      <c r="J243" s="30"/>
      <c r="K243" s="30"/>
      <c r="L243" s="153"/>
    </row>
    <row r="244" spans="1:12" s="14" customFormat="1" ht="48" customHeight="1" hidden="1">
      <c r="A244" s="99"/>
      <c r="B244" s="67" t="s">
        <v>5</v>
      </c>
      <c r="C244" s="187"/>
      <c r="D244" s="111">
        <v>3124.8</v>
      </c>
      <c r="E244" s="111">
        <v>3124.8</v>
      </c>
      <c r="F244" s="116">
        <f>E244-D244</f>
        <v>0</v>
      </c>
      <c r="G244" s="111"/>
      <c r="H244" s="95"/>
      <c r="I244" s="116">
        <f>H244-G244</f>
        <v>0</v>
      </c>
      <c r="J244" s="34"/>
      <c r="K244" s="34"/>
      <c r="L244" s="116"/>
    </row>
    <row r="245" spans="1:12" s="14" customFormat="1" ht="15.75" hidden="1">
      <c r="A245" s="99"/>
      <c r="B245" s="67"/>
      <c r="C245" s="187"/>
      <c r="D245" s="111"/>
      <c r="E245" s="111"/>
      <c r="F245" s="95"/>
      <c r="G245" s="111"/>
      <c r="H245" s="95"/>
      <c r="I245" s="95"/>
      <c r="J245" s="34"/>
      <c r="K245" s="34"/>
      <c r="L245" s="95"/>
    </row>
    <row r="246" spans="1:12" s="14" customFormat="1" ht="63.75" customHeight="1" hidden="1">
      <c r="A246" s="103"/>
      <c r="B246" s="43" t="s">
        <v>338</v>
      </c>
      <c r="C246" s="196" t="s">
        <v>433</v>
      </c>
      <c r="D246" s="114">
        <f aca="true" t="shared" si="82" ref="D246:I246">SUM(D247)</f>
        <v>25528</v>
      </c>
      <c r="E246" s="114">
        <f t="shared" si="82"/>
        <v>25528</v>
      </c>
      <c r="F246" s="114">
        <f t="shared" si="82"/>
        <v>0</v>
      </c>
      <c r="G246" s="114">
        <f t="shared" si="82"/>
        <v>0</v>
      </c>
      <c r="H246" s="114">
        <f t="shared" si="82"/>
        <v>0</v>
      </c>
      <c r="I246" s="114">
        <f t="shared" si="82"/>
        <v>0</v>
      </c>
      <c r="J246" s="35"/>
      <c r="K246" s="35"/>
      <c r="L246" s="114"/>
    </row>
    <row r="247" spans="1:12" s="14" customFormat="1" ht="16.5" customHeight="1" hidden="1">
      <c r="A247" s="103"/>
      <c r="B247" s="10" t="s">
        <v>602</v>
      </c>
      <c r="C247" s="186"/>
      <c r="D247" s="111">
        <v>25528</v>
      </c>
      <c r="E247" s="111">
        <v>25528</v>
      </c>
      <c r="F247" s="116">
        <f>E247-D247</f>
        <v>0</v>
      </c>
      <c r="G247" s="111">
        <v>0</v>
      </c>
      <c r="H247" s="95">
        <v>0</v>
      </c>
      <c r="I247" s="116">
        <f>H247-G247</f>
        <v>0</v>
      </c>
      <c r="J247" s="34"/>
      <c r="K247" s="34"/>
      <c r="L247" s="116"/>
    </row>
    <row r="248" spans="1:12" s="14" customFormat="1" ht="16.5" customHeight="1" hidden="1">
      <c r="A248" s="103"/>
      <c r="B248" s="10"/>
      <c r="C248" s="186"/>
      <c r="D248" s="111"/>
      <c r="E248" s="111"/>
      <c r="F248" s="95"/>
      <c r="G248" s="111"/>
      <c r="H248" s="95"/>
      <c r="I248" s="95"/>
      <c r="J248" s="34"/>
      <c r="K248" s="34"/>
      <c r="L248" s="95"/>
    </row>
    <row r="249" spans="1:12" s="8" customFormat="1" ht="115.5" customHeight="1" hidden="1">
      <c r="A249" s="103"/>
      <c r="B249" s="46" t="s">
        <v>339</v>
      </c>
      <c r="C249" s="196" t="s">
        <v>434</v>
      </c>
      <c r="D249" s="114">
        <f aca="true" t="shared" si="83" ref="D249:I249">SUM(D250:D252)</f>
        <v>2863.926</v>
      </c>
      <c r="E249" s="114">
        <f t="shared" si="83"/>
        <v>2863.926</v>
      </c>
      <c r="F249" s="114">
        <f t="shared" si="83"/>
        <v>0</v>
      </c>
      <c r="G249" s="114">
        <f t="shared" si="83"/>
        <v>0</v>
      </c>
      <c r="H249" s="114">
        <f t="shared" si="83"/>
        <v>0</v>
      </c>
      <c r="I249" s="114">
        <f t="shared" si="83"/>
        <v>0</v>
      </c>
      <c r="J249" s="35"/>
      <c r="K249" s="35"/>
      <c r="L249" s="114"/>
    </row>
    <row r="250" spans="1:12" s="8" customFormat="1" ht="15" customHeight="1" hidden="1">
      <c r="A250" s="103"/>
      <c r="B250" s="32" t="s">
        <v>600</v>
      </c>
      <c r="C250" s="187"/>
      <c r="D250" s="114">
        <f aca="true" t="shared" si="84" ref="D250:I251">SUM(D254)</f>
        <v>150</v>
      </c>
      <c r="E250" s="114">
        <f t="shared" si="84"/>
        <v>150</v>
      </c>
      <c r="F250" s="114">
        <f t="shared" si="84"/>
        <v>0</v>
      </c>
      <c r="G250" s="114">
        <f t="shared" si="84"/>
        <v>0</v>
      </c>
      <c r="H250" s="114">
        <f t="shared" si="84"/>
        <v>0</v>
      </c>
      <c r="I250" s="114">
        <f t="shared" si="84"/>
        <v>0</v>
      </c>
      <c r="J250" s="35"/>
      <c r="K250" s="35"/>
      <c r="L250" s="114"/>
    </row>
    <row r="251" spans="1:12" s="8" customFormat="1" ht="15" customHeight="1" hidden="1">
      <c r="A251" s="103"/>
      <c r="B251" s="32" t="s">
        <v>602</v>
      </c>
      <c r="C251" s="187"/>
      <c r="D251" s="114">
        <f t="shared" si="84"/>
        <v>512.82</v>
      </c>
      <c r="E251" s="114">
        <f t="shared" si="84"/>
        <v>512.82</v>
      </c>
      <c r="F251" s="114">
        <f t="shared" si="84"/>
        <v>0</v>
      </c>
      <c r="G251" s="114">
        <f t="shared" si="84"/>
        <v>0</v>
      </c>
      <c r="H251" s="114">
        <f t="shared" si="84"/>
        <v>0</v>
      </c>
      <c r="I251" s="114">
        <f t="shared" si="84"/>
        <v>0</v>
      </c>
      <c r="J251" s="35"/>
      <c r="K251" s="35"/>
      <c r="L251" s="114"/>
    </row>
    <row r="252" spans="1:12" s="8" customFormat="1" ht="15" customHeight="1" hidden="1">
      <c r="A252" s="103"/>
      <c r="B252" s="32" t="s">
        <v>601</v>
      </c>
      <c r="C252" s="187"/>
      <c r="D252" s="114">
        <f aca="true" t="shared" si="85" ref="D252:I252">SUM(D256+D258)</f>
        <v>2201.1059999999998</v>
      </c>
      <c r="E252" s="114">
        <f t="shared" si="85"/>
        <v>2201.1059999999998</v>
      </c>
      <c r="F252" s="114">
        <f t="shared" si="85"/>
        <v>0</v>
      </c>
      <c r="G252" s="114">
        <f t="shared" si="85"/>
        <v>0</v>
      </c>
      <c r="H252" s="114">
        <f t="shared" si="85"/>
        <v>0</v>
      </c>
      <c r="I252" s="114">
        <f t="shared" si="85"/>
        <v>0</v>
      </c>
      <c r="J252" s="35"/>
      <c r="K252" s="35"/>
      <c r="L252" s="114"/>
    </row>
    <row r="253" spans="1:12" s="8" customFormat="1" ht="15" customHeight="1" hidden="1">
      <c r="A253" s="104"/>
      <c r="B253" s="93" t="s">
        <v>94</v>
      </c>
      <c r="C253" s="188"/>
      <c r="D253" s="111"/>
      <c r="E253" s="111"/>
      <c r="F253" s="95"/>
      <c r="G253" s="111"/>
      <c r="H253" s="95"/>
      <c r="I253" s="95"/>
      <c r="J253" s="34"/>
      <c r="K253" s="34"/>
      <c r="L253" s="95"/>
    </row>
    <row r="254" spans="1:12" s="8" customFormat="1" ht="15" customHeight="1" hidden="1">
      <c r="A254" s="104"/>
      <c r="B254" s="32" t="s">
        <v>600</v>
      </c>
      <c r="C254" s="187"/>
      <c r="D254" s="111">
        <v>150</v>
      </c>
      <c r="E254" s="111">
        <v>150</v>
      </c>
      <c r="F254" s="116">
        <f>E254-D254</f>
        <v>0</v>
      </c>
      <c r="G254" s="111"/>
      <c r="H254" s="95"/>
      <c r="I254" s="116">
        <f>H254-G254</f>
        <v>0</v>
      </c>
      <c r="J254" s="34"/>
      <c r="K254" s="34"/>
      <c r="L254" s="116"/>
    </row>
    <row r="255" spans="1:13" s="8" customFormat="1" ht="15" customHeight="1" hidden="1">
      <c r="A255" s="104"/>
      <c r="B255" s="32" t="s">
        <v>602</v>
      </c>
      <c r="C255" s="187"/>
      <c r="D255" s="111">
        <v>512.82</v>
      </c>
      <c r="E255" s="111">
        <v>512.82</v>
      </c>
      <c r="F255" s="116">
        <f>E255-D255</f>
        <v>0</v>
      </c>
      <c r="G255" s="111"/>
      <c r="H255" s="95"/>
      <c r="I255" s="116">
        <f>H255-G255</f>
        <v>0</v>
      </c>
      <c r="J255" s="34"/>
      <c r="K255" s="34"/>
      <c r="L255" s="116"/>
      <c r="M255" s="110"/>
    </row>
    <row r="256" spans="1:13" s="8" customFormat="1" ht="15" customHeight="1" hidden="1">
      <c r="A256" s="104"/>
      <c r="B256" s="32" t="s">
        <v>601</v>
      </c>
      <c r="C256" s="187"/>
      <c r="D256" s="111">
        <v>1701.106</v>
      </c>
      <c r="E256" s="111">
        <v>1701.106</v>
      </c>
      <c r="F256" s="116">
        <f>E256-D256</f>
        <v>0</v>
      </c>
      <c r="G256" s="111"/>
      <c r="H256" s="95"/>
      <c r="I256" s="116">
        <f>H256-G256</f>
        <v>0</v>
      </c>
      <c r="J256" s="34"/>
      <c r="K256" s="34"/>
      <c r="L256" s="116"/>
      <c r="M256" s="110"/>
    </row>
    <row r="257" spans="1:12" s="8" customFormat="1" ht="15" customHeight="1" hidden="1">
      <c r="A257" s="104"/>
      <c r="B257" s="93" t="s">
        <v>95</v>
      </c>
      <c r="C257" s="188"/>
      <c r="D257" s="111"/>
      <c r="E257" s="111"/>
      <c r="F257" s="95"/>
      <c r="G257" s="111"/>
      <c r="H257" s="95"/>
      <c r="I257" s="95"/>
      <c r="J257" s="34"/>
      <c r="K257" s="34"/>
      <c r="L257" s="95"/>
    </row>
    <row r="258" spans="1:12" s="8" customFormat="1" ht="15" customHeight="1" hidden="1">
      <c r="A258" s="104"/>
      <c r="B258" s="32" t="s">
        <v>601</v>
      </c>
      <c r="C258" s="187"/>
      <c r="D258" s="111">
        <v>500</v>
      </c>
      <c r="E258" s="111">
        <v>500</v>
      </c>
      <c r="F258" s="116">
        <f>E258-D258</f>
        <v>0</v>
      </c>
      <c r="G258" s="111"/>
      <c r="H258" s="95"/>
      <c r="I258" s="116">
        <f>H258-G258</f>
        <v>0</v>
      </c>
      <c r="J258" s="34"/>
      <c r="K258" s="34"/>
      <c r="L258" s="116"/>
    </row>
    <row r="259" spans="1:12" s="8" customFormat="1" ht="15" customHeight="1" hidden="1">
      <c r="A259" s="104"/>
      <c r="B259" s="32"/>
      <c r="C259" s="187"/>
      <c r="D259" s="111"/>
      <c r="E259" s="111"/>
      <c r="F259" s="95"/>
      <c r="G259" s="111"/>
      <c r="H259" s="95"/>
      <c r="I259" s="95"/>
      <c r="J259" s="34"/>
      <c r="K259" s="34"/>
      <c r="L259" s="95"/>
    </row>
    <row r="260" spans="1:12" s="8" customFormat="1" ht="116.25" customHeight="1" hidden="1">
      <c r="A260" s="103"/>
      <c r="B260" s="46" t="s">
        <v>393</v>
      </c>
      <c r="C260" s="196" t="s">
        <v>434</v>
      </c>
      <c r="D260" s="114">
        <f aca="true" t="shared" si="86" ref="D260:I260">SUM(D261:D262)</f>
        <v>686.99</v>
      </c>
      <c r="E260" s="114">
        <f t="shared" si="86"/>
        <v>686.99</v>
      </c>
      <c r="F260" s="114">
        <f t="shared" si="86"/>
        <v>0</v>
      </c>
      <c r="G260" s="114">
        <f t="shared" si="86"/>
        <v>686.99</v>
      </c>
      <c r="H260" s="114">
        <f t="shared" si="86"/>
        <v>686.99</v>
      </c>
      <c r="I260" s="114">
        <f t="shared" si="86"/>
        <v>0</v>
      </c>
      <c r="J260" s="216"/>
      <c r="K260" s="214"/>
      <c r="L260" s="214"/>
    </row>
    <row r="261" spans="1:12" s="8" customFormat="1" ht="15" customHeight="1" hidden="1">
      <c r="A261" s="103"/>
      <c r="B261" s="32" t="s">
        <v>600</v>
      </c>
      <c r="C261" s="187"/>
      <c r="D261" s="124">
        <f>186.99+500</f>
        <v>686.99</v>
      </c>
      <c r="E261" s="124">
        <f>186.99+500</f>
        <v>686.99</v>
      </c>
      <c r="F261" s="116">
        <f>E261-D261</f>
        <v>0</v>
      </c>
      <c r="G261" s="124">
        <f>186.99+500</f>
        <v>686.99</v>
      </c>
      <c r="H261" s="124">
        <f>186.99+500</f>
        <v>686.99</v>
      </c>
      <c r="I261" s="116">
        <f>H261-G261</f>
        <v>0</v>
      </c>
      <c r="J261" s="91"/>
      <c r="K261" s="91"/>
      <c r="L261" s="116"/>
    </row>
    <row r="262" spans="1:12" s="8" customFormat="1" ht="15" customHeight="1" hidden="1">
      <c r="A262" s="103"/>
      <c r="B262" s="32" t="s">
        <v>602</v>
      </c>
      <c r="C262" s="187"/>
      <c r="D262" s="124"/>
      <c r="E262" s="124"/>
      <c r="F262" s="116">
        <f>E262-D262</f>
        <v>0</v>
      </c>
      <c r="G262" s="124"/>
      <c r="H262" s="124"/>
      <c r="I262" s="116">
        <f>H262-G262</f>
        <v>0</v>
      </c>
      <c r="J262" s="91"/>
      <c r="K262" s="91"/>
      <c r="L262" s="116"/>
    </row>
    <row r="263" spans="1:12" s="8" customFormat="1" ht="15" customHeight="1" hidden="1">
      <c r="A263" s="103"/>
      <c r="B263" s="32"/>
      <c r="C263" s="187"/>
      <c r="D263" s="111"/>
      <c r="E263" s="111"/>
      <c r="F263" s="124"/>
      <c r="G263" s="111"/>
      <c r="H263" s="124"/>
      <c r="I263" s="124"/>
      <c r="J263" s="91"/>
      <c r="K263" s="91"/>
      <c r="L263" s="124"/>
    </row>
    <row r="264" spans="1:12" s="8" customFormat="1" ht="124.5" customHeight="1" hidden="1">
      <c r="A264" s="103"/>
      <c r="B264" s="46" t="s">
        <v>394</v>
      </c>
      <c r="C264" s="196" t="s">
        <v>434</v>
      </c>
      <c r="D264" s="114">
        <f aca="true" t="shared" si="87" ref="D264:I264">SUM(D265:D267)</f>
        <v>21791.553</v>
      </c>
      <c r="E264" s="114">
        <f t="shared" si="87"/>
        <v>21791.553</v>
      </c>
      <c r="F264" s="114">
        <f t="shared" si="87"/>
        <v>0</v>
      </c>
      <c r="G264" s="217">
        <f t="shared" si="87"/>
        <v>21791.553</v>
      </c>
      <c r="H264" s="217">
        <f t="shared" si="87"/>
        <v>21791.553</v>
      </c>
      <c r="I264" s="217">
        <f t="shared" si="87"/>
        <v>0</v>
      </c>
      <c r="J264" s="218" t="s">
        <v>575</v>
      </c>
      <c r="K264" s="218" t="s">
        <v>575</v>
      </c>
      <c r="L264" s="218" t="s">
        <v>576</v>
      </c>
    </row>
    <row r="265" spans="1:12" s="8" customFormat="1" ht="30.75" customHeight="1" hidden="1">
      <c r="A265" s="103"/>
      <c r="B265" s="32" t="s">
        <v>578</v>
      </c>
      <c r="C265" s="187"/>
      <c r="D265" s="124"/>
      <c r="E265" s="124">
        <v>400</v>
      </c>
      <c r="F265" s="116">
        <f>E265-D265</f>
        <v>400</v>
      </c>
      <c r="G265" s="124"/>
      <c r="H265" s="124">
        <f>400</f>
        <v>400</v>
      </c>
      <c r="I265" s="116">
        <f>H265-G265</f>
        <v>400</v>
      </c>
      <c r="J265" s="91"/>
      <c r="K265" s="91"/>
      <c r="L265" s="116"/>
    </row>
    <row r="266" spans="1:12" s="8" customFormat="1" ht="15" customHeight="1" hidden="1">
      <c r="A266" s="103"/>
      <c r="B266" s="32" t="s">
        <v>600</v>
      </c>
      <c r="C266" s="187"/>
      <c r="D266" s="124">
        <f>7572.653+400</f>
        <v>7972.653</v>
      </c>
      <c r="E266" s="124">
        <f>7572.653+400-400</f>
        <v>7572.653</v>
      </c>
      <c r="F266" s="116">
        <f>E266-D266</f>
        <v>-400</v>
      </c>
      <c r="G266" s="124">
        <v>7972.653</v>
      </c>
      <c r="H266" s="124">
        <f>7572.653+400-400</f>
        <v>7572.653</v>
      </c>
      <c r="I266" s="116">
        <f>H266-G266</f>
        <v>-400</v>
      </c>
      <c r="J266" s="91"/>
      <c r="K266" s="91"/>
      <c r="L266" s="116"/>
    </row>
    <row r="267" spans="1:12" s="8" customFormat="1" ht="15" customHeight="1" hidden="1">
      <c r="A267" s="103"/>
      <c r="B267" s="32" t="s">
        <v>602</v>
      </c>
      <c r="C267" s="187"/>
      <c r="D267" s="124">
        <v>13818.9</v>
      </c>
      <c r="E267" s="124">
        <f>13818.9</f>
        <v>13818.9</v>
      </c>
      <c r="F267" s="116">
        <f>E267-D267</f>
        <v>0</v>
      </c>
      <c r="G267" s="124">
        <v>13818.9</v>
      </c>
      <c r="H267" s="124">
        <v>13818.9</v>
      </c>
      <c r="I267" s="116">
        <f>H267-G267</f>
        <v>0</v>
      </c>
      <c r="J267" s="91"/>
      <c r="K267" s="91"/>
      <c r="L267" s="116"/>
    </row>
    <row r="268" spans="1:12" s="8" customFormat="1" ht="15" customHeight="1" hidden="1">
      <c r="A268" s="103"/>
      <c r="B268" s="32" t="s">
        <v>6</v>
      </c>
      <c r="C268" s="187"/>
      <c r="D268" s="124"/>
      <c r="E268" s="124"/>
      <c r="F268" s="124"/>
      <c r="G268" s="124"/>
      <c r="H268" s="124"/>
      <c r="I268" s="124"/>
      <c r="J268" s="91"/>
      <c r="K268" s="91"/>
      <c r="L268" s="124"/>
    </row>
    <row r="269" spans="1:12" s="8" customFormat="1" ht="15" customHeight="1" hidden="1">
      <c r="A269" s="103"/>
      <c r="B269" s="32" t="s">
        <v>15</v>
      </c>
      <c r="C269" s="187"/>
      <c r="D269" s="124">
        <f aca="true" t="shared" si="88" ref="D269:I269">SUM(D265:D267)</f>
        <v>21791.553</v>
      </c>
      <c r="E269" s="124">
        <f t="shared" si="88"/>
        <v>21791.553</v>
      </c>
      <c r="F269" s="124">
        <f t="shared" si="88"/>
        <v>0</v>
      </c>
      <c r="G269" s="124">
        <f t="shared" si="88"/>
        <v>21791.553</v>
      </c>
      <c r="H269" s="124">
        <f t="shared" si="88"/>
        <v>21791.553</v>
      </c>
      <c r="I269" s="124">
        <f t="shared" si="88"/>
        <v>0</v>
      </c>
      <c r="J269" s="91"/>
      <c r="K269" s="91"/>
      <c r="L269" s="124"/>
    </row>
    <row r="270" spans="1:12" s="8" customFormat="1" ht="15" customHeight="1" hidden="1">
      <c r="A270" s="103"/>
      <c r="B270" s="32"/>
      <c r="C270" s="187"/>
      <c r="D270" s="124"/>
      <c r="E270" s="124"/>
      <c r="F270" s="124"/>
      <c r="G270" s="124"/>
      <c r="H270" s="124"/>
      <c r="I270" s="124"/>
      <c r="J270" s="91"/>
      <c r="K270" s="91"/>
      <c r="L270" s="124"/>
    </row>
    <row r="271" spans="1:12" s="8" customFormat="1" ht="98.25" customHeight="1" hidden="1">
      <c r="A271" s="103"/>
      <c r="B271" s="46" t="s">
        <v>403</v>
      </c>
      <c r="C271" s="196" t="s">
        <v>435</v>
      </c>
      <c r="D271" s="114">
        <f aca="true" t="shared" si="89" ref="D271:I271">SUM(D272:D273)</f>
        <v>4400</v>
      </c>
      <c r="E271" s="114">
        <f t="shared" si="89"/>
        <v>4400</v>
      </c>
      <c r="F271" s="114">
        <f t="shared" si="89"/>
        <v>0</v>
      </c>
      <c r="G271" s="114">
        <f t="shared" si="89"/>
        <v>3300</v>
      </c>
      <c r="H271" s="114">
        <f t="shared" si="89"/>
        <v>3300</v>
      </c>
      <c r="I271" s="114">
        <f t="shared" si="89"/>
        <v>0</v>
      </c>
      <c r="J271" s="214" t="s">
        <v>582</v>
      </c>
      <c r="K271" s="214" t="s">
        <v>582</v>
      </c>
      <c r="L271" s="214" t="s">
        <v>583</v>
      </c>
    </row>
    <row r="272" spans="1:12" s="8" customFormat="1" ht="15" customHeight="1" hidden="1">
      <c r="A272" s="103"/>
      <c r="B272" s="32" t="s">
        <v>600</v>
      </c>
      <c r="C272" s="187"/>
      <c r="D272" s="124">
        <v>2900</v>
      </c>
      <c r="E272" s="124">
        <v>2900</v>
      </c>
      <c r="F272" s="116">
        <f>E272-D272</f>
        <v>0</v>
      </c>
      <c r="G272" s="124">
        <v>1800</v>
      </c>
      <c r="H272" s="124">
        <v>1800</v>
      </c>
      <c r="I272" s="116">
        <f>H272-G272</f>
        <v>0</v>
      </c>
      <c r="J272" s="91"/>
      <c r="K272" s="91"/>
      <c r="L272" s="116"/>
    </row>
    <row r="273" spans="1:12" s="8" customFormat="1" ht="15" customHeight="1" hidden="1">
      <c r="A273" s="103"/>
      <c r="B273" s="32" t="s">
        <v>602</v>
      </c>
      <c r="C273" s="187"/>
      <c r="D273" s="124">
        <v>1500</v>
      </c>
      <c r="E273" s="124">
        <v>1500</v>
      </c>
      <c r="F273" s="116">
        <f>E273-D273</f>
        <v>0</v>
      </c>
      <c r="G273" s="124">
        <v>1500</v>
      </c>
      <c r="H273" s="124">
        <v>1500</v>
      </c>
      <c r="I273" s="116">
        <f>H273-G273</f>
        <v>0</v>
      </c>
      <c r="J273" s="91"/>
      <c r="K273" s="91"/>
      <c r="L273" s="116"/>
    </row>
    <row r="274" spans="1:12" s="8" customFormat="1" ht="15" customHeight="1" hidden="1">
      <c r="A274" s="103"/>
      <c r="B274" s="32" t="s">
        <v>6</v>
      </c>
      <c r="C274" s="187"/>
      <c r="D274" s="124"/>
      <c r="E274" s="124"/>
      <c r="F274" s="124"/>
      <c r="G274" s="124"/>
      <c r="H274" s="124"/>
      <c r="I274" s="124"/>
      <c r="J274" s="91"/>
      <c r="K274" s="91"/>
      <c r="L274" s="124"/>
    </row>
    <row r="275" spans="1:12" s="8" customFormat="1" ht="15" customHeight="1" hidden="1">
      <c r="A275" s="103"/>
      <c r="B275" s="32" t="s">
        <v>57</v>
      </c>
      <c r="C275" s="187"/>
      <c r="D275" s="124">
        <v>3300</v>
      </c>
      <c r="E275" s="124">
        <v>3300</v>
      </c>
      <c r="F275" s="124">
        <f>SUM(F272:F273)</f>
        <v>0</v>
      </c>
      <c r="G275" s="124">
        <v>3300</v>
      </c>
      <c r="H275" s="124">
        <v>3300</v>
      </c>
      <c r="I275" s="124">
        <f>SUM(I272:I273)</f>
        <v>0</v>
      </c>
      <c r="J275" s="91"/>
      <c r="K275" s="91"/>
      <c r="L275" s="124"/>
    </row>
    <row r="276" spans="1:12" s="8" customFormat="1" ht="15" customHeight="1" hidden="1">
      <c r="A276" s="103"/>
      <c r="B276" s="32" t="s">
        <v>56</v>
      </c>
      <c r="C276" s="187"/>
      <c r="D276" s="124">
        <v>1100</v>
      </c>
      <c r="E276" s="124">
        <v>1100</v>
      </c>
      <c r="F276" s="124">
        <f>SUM(F273:F274)</f>
        <v>0</v>
      </c>
      <c r="G276" s="124"/>
      <c r="H276" s="124"/>
      <c r="I276" s="124"/>
      <c r="J276" s="91"/>
      <c r="K276" s="91"/>
      <c r="L276" s="124"/>
    </row>
    <row r="277" spans="1:12" s="8" customFormat="1" ht="15" customHeight="1" hidden="1">
      <c r="A277" s="103"/>
      <c r="B277" s="32"/>
      <c r="C277" s="187"/>
      <c r="D277" s="124"/>
      <c r="E277" s="124"/>
      <c r="F277" s="124"/>
      <c r="G277" s="124"/>
      <c r="H277" s="124"/>
      <c r="I277" s="124"/>
      <c r="J277" s="91"/>
      <c r="K277" s="91"/>
      <c r="L277" s="124"/>
    </row>
    <row r="278" spans="1:12" s="8" customFormat="1" ht="98.25" customHeight="1" hidden="1">
      <c r="A278" s="103"/>
      <c r="B278" s="46" t="s">
        <v>447</v>
      </c>
      <c r="C278" s="196" t="s">
        <v>495</v>
      </c>
      <c r="D278" s="114">
        <f aca="true" t="shared" si="90" ref="D278:I278">SUM(D279:D281)</f>
        <v>3996.2999999999997</v>
      </c>
      <c r="E278" s="114">
        <f t="shared" si="90"/>
        <v>3996.2999999999997</v>
      </c>
      <c r="F278" s="114">
        <f t="shared" si="90"/>
        <v>0</v>
      </c>
      <c r="G278" s="217">
        <f>SUM(G279:G281)</f>
        <v>3996.2999999999997</v>
      </c>
      <c r="H278" s="217">
        <f>SUM(H279:H281)</f>
        <v>3996.2999999999997</v>
      </c>
      <c r="I278" s="217">
        <f t="shared" si="90"/>
        <v>0</v>
      </c>
      <c r="J278" s="218" t="s">
        <v>574</v>
      </c>
      <c r="K278" s="218" t="s">
        <v>496</v>
      </c>
      <c r="L278" s="218" t="s">
        <v>496</v>
      </c>
    </row>
    <row r="279" spans="1:12" s="8" customFormat="1" ht="15" customHeight="1" hidden="1">
      <c r="A279" s="103"/>
      <c r="B279" s="32" t="s">
        <v>600</v>
      </c>
      <c r="C279" s="187"/>
      <c r="D279" s="124">
        <v>84.6</v>
      </c>
      <c r="E279" s="124">
        <v>84.6</v>
      </c>
      <c r="F279" s="116">
        <f>E279-D279</f>
        <v>0</v>
      </c>
      <c r="G279" s="124">
        <v>84.6</v>
      </c>
      <c r="H279" s="124">
        <v>84.6</v>
      </c>
      <c r="I279" s="116">
        <f>H279-G279</f>
        <v>0</v>
      </c>
      <c r="J279" s="91"/>
      <c r="K279" s="91"/>
      <c r="L279" s="116"/>
    </row>
    <row r="280" spans="1:12" s="8" customFormat="1" ht="15" customHeight="1" hidden="1">
      <c r="A280" s="103"/>
      <c r="B280" s="32" t="s">
        <v>602</v>
      </c>
      <c r="C280" s="187"/>
      <c r="D280" s="124">
        <v>3911.7</v>
      </c>
      <c r="E280" s="124"/>
      <c r="F280" s="116">
        <f>E280-D280</f>
        <v>-3911.7</v>
      </c>
      <c r="G280" s="124">
        <v>3911.7</v>
      </c>
      <c r="H280" s="124"/>
      <c r="I280" s="116">
        <f>H280-G280</f>
        <v>-3911.7</v>
      </c>
      <c r="J280" s="91"/>
      <c r="K280" s="91"/>
      <c r="L280" s="116"/>
    </row>
    <row r="281" spans="1:12" s="8" customFormat="1" ht="15" customHeight="1" hidden="1">
      <c r="A281" s="103"/>
      <c r="B281" s="32" t="s">
        <v>601</v>
      </c>
      <c r="C281" s="187"/>
      <c r="D281" s="124"/>
      <c r="E281" s="124">
        <v>3911.7</v>
      </c>
      <c r="F281" s="116">
        <f>E281-D281</f>
        <v>3911.7</v>
      </c>
      <c r="G281" s="124"/>
      <c r="H281" s="124">
        <v>3911.7</v>
      </c>
      <c r="I281" s="116">
        <f>H281-G281</f>
        <v>3911.7</v>
      </c>
      <c r="J281" s="91"/>
      <c r="K281" s="91"/>
      <c r="L281" s="116"/>
    </row>
    <row r="282" spans="1:12" s="8" customFormat="1" ht="15" customHeight="1" hidden="1">
      <c r="A282" s="103"/>
      <c r="B282" s="32" t="s">
        <v>6</v>
      </c>
      <c r="C282" s="187"/>
      <c r="D282" s="124"/>
      <c r="E282" s="124"/>
      <c r="F282" s="124"/>
      <c r="G282" s="124"/>
      <c r="H282" s="124"/>
      <c r="I282" s="124"/>
      <c r="J282" s="91"/>
      <c r="K282" s="91"/>
      <c r="L282" s="124"/>
    </row>
    <row r="283" spans="1:12" s="8" customFormat="1" ht="15" customHeight="1" hidden="1">
      <c r="A283" s="103"/>
      <c r="B283" s="32" t="s">
        <v>56</v>
      </c>
      <c r="C283" s="187"/>
      <c r="D283" s="124">
        <f aca="true" t="shared" si="91" ref="D283:I283">SUM(D279:D281)</f>
        <v>3996.2999999999997</v>
      </c>
      <c r="E283" s="124">
        <f t="shared" si="91"/>
        <v>3996.2999999999997</v>
      </c>
      <c r="F283" s="124">
        <f t="shared" si="91"/>
        <v>0</v>
      </c>
      <c r="G283" s="124">
        <f t="shared" si="91"/>
        <v>3996.2999999999997</v>
      </c>
      <c r="H283" s="124">
        <f t="shared" si="91"/>
        <v>3996.2999999999997</v>
      </c>
      <c r="I283" s="124">
        <f t="shared" si="91"/>
        <v>0</v>
      </c>
      <c r="J283" s="91"/>
      <c r="K283" s="91"/>
      <c r="L283" s="124"/>
    </row>
    <row r="284" spans="1:12" s="8" customFormat="1" ht="15" customHeight="1" hidden="1">
      <c r="A284" s="103"/>
      <c r="B284" s="205"/>
      <c r="C284" s="213"/>
      <c r="D284" s="207"/>
      <c r="E284" s="207"/>
      <c r="F284" s="207"/>
      <c r="G284" s="207"/>
      <c r="H284" s="207"/>
      <c r="I284" s="207"/>
      <c r="J284" s="208"/>
      <c r="K284" s="208"/>
      <c r="L284" s="207"/>
    </row>
    <row r="285" spans="1:12" s="7" customFormat="1" ht="15" customHeight="1" hidden="1">
      <c r="A285" s="172"/>
      <c r="B285" s="230" t="s">
        <v>594</v>
      </c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</row>
    <row r="286" spans="1:12" s="8" customFormat="1" ht="15.75" hidden="1">
      <c r="A286" s="103"/>
      <c r="B286" s="43" t="s">
        <v>25</v>
      </c>
      <c r="C286" s="186"/>
      <c r="D286" s="115">
        <f aca="true" t="shared" si="92" ref="D286:I286">SUM(D287:D288)</f>
        <v>94369.284</v>
      </c>
      <c r="E286" s="115">
        <f t="shared" si="92"/>
        <v>94369.284</v>
      </c>
      <c r="F286" s="115">
        <f t="shared" si="92"/>
        <v>0</v>
      </c>
      <c r="G286" s="115">
        <f t="shared" si="92"/>
        <v>10000</v>
      </c>
      <c r="H286" s="115">
        <f t="shared" si="92"/>
        <v>10000</v>
      </c>
      <c r="I286" s="115">
        <f t="shared" si="92"/>
        <v>0</v>
      </c>
      <c r="J286" s="16"/>
      <c r="K286" s="16"/>
      <c r="L286" s="115"/>
    </row>
    <row r="287" spans="1:12" s="8" customFormat="1" ht="15" customHeight="1" hidden="1">
      <c r="A287" s="103"/>
      <c r="B287" s="10" t="s">
        <v>600</v>
      </c>
      <c r="C287" s="186"/>
      <c r="D287" s="116">
        <f aca="true" t="shared" si="93" ref="D287:I287">SUM(D292+D306)</f>
        <v>94369.284</v>
      </c>
      <c r="E287" s="116">
        <f t="shared" si="93"/>
        <v>94369.284</v>
      </c>
      <c r="F287" s="111">
        <f t="shared" si="93"/>
        <v>0</v>
      </c>
      <c r="G287" s="116">
        <f t="shared" si="93"/>
        <v>10000</v>
      </c>
      <c r="H287" s="111">
        <f t="shared" si="93"/>
        <v>10000</v>
      </c>
      <c r="I287" s="111">
        <f t="shared" si="93"/>
        <v>0</v>
      </c>
      <c r="J287" s="15"/>
      <c r="K287" s="15"/>
      <c r="L287" s="111"/>
    </row>
    <row r="288" spans="1:12" s="8" customFormat="1" ht="15" customHeight="1" hidden="1">
      <c r="A288" s="103"/>
      <c r="B288" s="10" t="s">
        <v>602</v>
      </c>
      <c r="C288" s="186"/>
      <c r="D288" s="116">
        <f aca="true" t="shared" si="94" ref="D288:I288">SUM(D293)</f>
        <v>0</v>
      </c>
      <c r="E288" s="116">
        <f t="shared" si="94"/>
        <v>0</v>
      </c>
      <c r="F288" s="116">
        <f t="shared" si="94"/>
        <v>0</v>
      </c>
      <c r="G288" s="116">
        <f t="shared" si="94"/>
        <v>0</v>
      </c>
      <c r="H288" s="116">
        <f t="shared" si="94"/>
        <v>0</v>
      </c>
      <c r="I288" s="116">
        <f t="shared" si="94"/>
        <v>0</v>
      </c>
      <c r="J288" s="15"/>
      <c r="K288" s="15"/>
      <c r="L288" s="116"/>
    </row>
    <row r="289" spans="1:12" s="8" customFormat="1" ht="15" customHeight="1" hidden="1">
      <c r="A289" s="104"/>
      <c r="B289" s="5"/>
      <c r="C289" s="156"/>
      <c r="D289" s="156"/>
      <c r="E289" s="156"/>
      <c r="F289" s="156"/>
      <c r="G289" s="156"/>
      <c r="H289" s="156"/>
      <c r="I289" s="156"/>
      <c r="J289" s="6"/>
      <c r="K289" s="6"/>
      <c r="L289" s="156"/>
    </row>
    <row r="290" spans="1:12" s="8" customFormat="1" ht="15" customHeight="1" hidden="1">
      <c r="A290" s="173"/>
      <c r="B290" s="224" t="s">
        <v>604</v>
      </c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</row>
    <row r="291" spans="1:12" s="8" customFormat="1" ht="34.5" customHeight="1" hidden="1">
      <c r="A291" s="103"/>
      <c r="B291" s="43" t="s">
        <v>21</v>
      </c>
      <c r="C291" s="186"/>
      <c r="D291" s="114">
        <f aca="true" t="shared" si="95" ref="D291:I291">SUM(D292:D293)</f>
        <v>93606.732</v>
      </c>
      <c r="E291" s="114">
        <f t="shared" si="95"/>
        <v>93606.732</v>
      </c>
      <c r="F291" s="114">
        <f t="shared" si="95"/>
        <v>0</v>
      </c>
      <c r="G291" s="114">
        <f t="shared" si="95"/>
        <v>10000</v>
      </c>
      <c r="H291" s="114">
        <f t="shared" si="95"/>
        <v>10000</v>
      </c>
      <c r="I291" s="114">
        <f t="shared" si="95"/>
        <v>0</v>
      </c>
      <c r="J291" s="35"/>
      <c r="K291" s="35"/>
      <c r="L291" s="114"/>
    </row>
    <row r="292" spans="1:12" s="8" customFormat="1" ht="15" customHeight="1" hidden="1">
      <c r="A292" s="103"/>
      <c r="B292" s="10" t="s">
        <v>600</v>
      </c>
      <c r="C292" s="186"/>
      <c r="D292" s="111">
        <f aca="true" t="shared" si="96" ref="D292:I293">SUM(D297)</f>
        <v>93606.732</v>
      </c>
      <c r="E292" s="111">
        <f t="shared" si="96"/>
        <v>93606.732</v>
      </c>
      <c r="F292" s="111">
        <f t="shared" si="96"/>
        <v>0</v>
      </c>
      <c r="G292" s="111">
        <f t="shared" si="96"/>
        <v>10000</v>
      </c>
      <c r="H292" s="111">
        <f t="shared" si="96"/>
        <v>10000</v>
      </c>
      <c r="I292" s="111">
        <f t="shared" si="96"/>
        <v>0</v>
      </c>
      <c r="J292" s="52"/>
      <c r="K292" s="52"/>
      <c r="L292" s="111"/>
    </row>
    <row r="293" spans="1:12" s="8" customFormat="1" ht="15" customHeight="1" hidden="1">
      <c r="A293" s="99"/>
      <c r="B293" s="10" t="s">
        <v>602</v>
      </c>
      <c r="C293" s="186"/>
      <c r="D293" s="116">
        <f t="shared" si="96"/>
        <v>0</v>
      </c>
      <c r="E293" s="116">
        <f t="shared" si="96"/>
        <v>0</v>
      </c>
      <c r="F293" s="116">
        <f t="shared" si="96"/>
        <v>0</v>
      </c>
      <c r="G293" s="116">
        <f t="shared" si="96"/>
        <v>0</v>
      </c>
      <c r="H293" s="116">
        <f t="shared" si="96"/>
        <v>0</v>
      </c>
      <c r="I293" s="116">
        <f t="shared" si="96"/>
        <v>0</v>
      </c>
      <c r="J293" s="15"/>
      <c r="K293" s="15"/>
      <c r="L293" s="116"/>
    </row>
    <row r="294" spans="1:12" s="8" customFormat="1" ht="15" customHeight="1" hidden="1">
      <c r="A294" s="104"/>
      <c r="B294" s="9"/>
      <c r="C294" s="182"/>
      <c r="D294" s="116"/>
      <c r="E294" s="116"/>
      <c r="F294" s="116"/>
      <c r="G294" s="116"/>
      <c r="H294" s="116"/>
      <c r="I294" s="116"/>
      <c r="J294" s="15"/>
      <c r="K294" s="15"/>
      <c r="L294" s="116"/>
    </row>
    <row r="295" spans="1:12" s="8" customFormat="1" ht="15" customHeight="1" hidden="1">
      <c r="A295" s="174"/>
      <c r="B295" s="233" t="s">
        <v>10</v>
      </c>
      <c r="C295" s="234"/>
      <c r="D295" s="234"/>
      <c r="E295" s="234"/>
      <c r="F295" s="234"/>
      <c r="G295" s="234"/>
      <c r="H295" s="234"/>
      <c r="I295" s="234"/>
      <c r="J295" s="234"/>
      <c r="K295" s="234"/>
      <c r="L295" s="234"/>
    </row>
    <row r="296" spans="1:12" s="41" customFormat="1" ht="47.25" hidden="1">
      <c r="A296" s="99"/>
      <c r="B296" s="46" t="s">
        <v>291</v>
      </c>
      <c r="C296" s="187"/>
      <c r="D296" s="114">
        <f aca="true" t="shared" si="97" ref="D296:I296">SUM(D297:D298)</f>
        <v>93606.732</v>
      </c>
      <c r="E296" s="114">
        <f t="shared" si="97"/>
        <v>93606.732</v>
      </c>
      <c r="F296" s="114">
        <f t="shared" si="97"/>
        <v>0</v>
      </c>
      <c r="G296" s="114">
        <f t="shared" si="97"/>
        <v>10000</v>
      </c>
      <c r="H296" s="114">
        <f t="shared" si="97"/>
        <v>10000</v>
      </c>
      <c r="I296" s="114">
        <f t="shared" si="97"/>
        <v>0</v>
      </c>
      <c r="J296" s="35"/>
      <c r="K296" s="35"/>
      <c r="L296" s="114"/>
    </row>
    <row r="297" spans="1:12" s="14" customFormat="1" ht="15" customHeight="1" hidden="1">
      <c r="A297" s="99"/>
      <c r="B297" s="10" t="s">
        <v>600</v>
      </c>
      <c r="C297" s="186"/>
      <c r="D297" s="111">
        <f aca="true" t="shared" si="98" ref="D297:I298">D301</f>
        <v>93606.732</v>
      </c>
      <c r="E297" s="111">
        <f t="shared" si="98"/>
        <v>93606.732</v>
      </c>
      <c r="F297" s="111">
        <f t="shared" si="98"/>
        <v>0</v>
      </c>
      <c r="G297" s="111">
        <f t="shared" si="98"/>
        <v>10000</v>
      </c>
      <c r="H297" s="111">
        <f t="shared" si="98"/>
        <v>10000</v>
      </c>
      <c r="I297" s="111">
        <f t="shared" si="98"/>
        <v>0</v>
      </c>
      <c r="J297" s="52"/>
      <c r="K297" s="52"/>
      <c r="L297" s="111"/>
    </row>
    <row r="298" spans="1:12" s="8" customFormat="1" ht="15" customHeight="1" hidden="1">
      <c r="A298" s="99"/>
      <c r="B298" s="10" t="s">
        <v>602</v>
      </c>
      <c r="C298" s="186"/>
      <c r="D298" s="116">
        <f t="shared" si="98"/>
        <v>0</v>
      </c>
      <c r="E298" s="116">
        <f t="shared" si="98"/>
        <v>0</v>
      </c>
      <c r="F298" s="116">
        <f t="shared" si="98"/>
        <v>0</v>
      </c>
      <c r="G298" s="116">
        <f t="shared" si="98"/>
        <v>0</v>
      </c>
      <c r="H298" s="116">
        <f t="shared" si="98"/>
        <v>0</v>
      </c>
      <c r="I298" s="116">
        <f t="shared" si="98"/>
        <v>0</v>
      </c>
      <c r="J298" s="15"/>
      <c r="K298" s="15"/>
      <c r="L298" s="116"/>
    </row>
    <row r="299" spans="1:12" s="8" customFormat="1" ht="15" customHeight="1" hidden="1">
      <c r="A299" s="99"/>
      <c r="B299" s="11"/>
      <c r="C299" s="186"/>
      <c r="D299" s="116"/>
      <c r="E299" s="116"/>
      <c r="F299" s="116"/>
      <c r="G299" s="116"/>
      <c r="H299" s="116"/>
      <c r="I299" s="116"/>
      <c r="J299" s="15"/>
      <c r="K299" s="15"/>
      <c r="L299" s="116"/>
    </row>
    <row r="300" spans="1:12" s="8" customFormat="1" ht="175.5" customHeight="1" hidden="1">
      <c r="A300" s="99"/>
      <c r="B300" s="43" t="s">
        <v>290</v>
      </c>
      <c r="C300" s="196" t="s">
        <v>479</v>
      </c>
      <c r="D300" s="114">
        <f aca="true" t="shared" si="99" ref="D300:I300">SUM(D301:D302)</f>
        <v>93606.732</v>
      </c>
      <c r="E300" s="114">
        <f t="shared" si="99"/>
        <v>93606.732</v>
      </c>
      <c r="F300" s="114">
        <f t="shared" si="99"/>
        <v>0</v>
      </c>
      <c r="G300" s="114">
        <f t="shared" si="99"/>
        <v>10000</v>
      </c>
      <c r="H300" s="114">
        <f t="shared" si="99"/>
        <v>10000</v>
      </c>
      <c r="I300" s="114">
        <f t="shared" si="99"/>
        <v>0</v>
      </c>
      <c r="J300" s="35"/>
      <c r="K300" s="35"/>
      <c r="L300" s="114"/>
    </row>
    <row r="301" spans="1:12" s="8" customFormat="1" ht="15" customHeight="1" hidden="1">
      <c r="A301" s="99"/>
      <c r="B301" s="10" t="s">
        <v>600</v>
      </c>
      <c r="C301" s="186"/>
      <c r="D301" s="111">
        <v>93606.732</v>
      </c>
      <c r="E301" s="111">
        <v>93606.732</v>
      </c>
      <c r="F301" s="116">
        <f>E301-D301</f>
        <v>0</v>
      </c>
      <c r="G301" s="111">
        <v>10000</v>
      </c>
      <c r="H301" s="111">
        <v>10000</v>
      </c>
      <c r="I301" s="116">
        <f>H301-G301</f>
        <v>0</v>
      </c>
      <c r="J301" s="52"/>
      <c r="K301" s="52"/>
      <c r="L301" s="116"/>
    </row>
    <row r="302" spans="1:12" s="8" customFormat="1" ht="15" customHeight="1" hidden="1">
      <c r="A302" s="99"/>
      <c r="B302" s="10" t="s">
        <v>602</v>
      </c>
      <c r="C302" s="186"/>
      <c r="D302" s="116"/>
      <c r="E302" s="116"/>
      <c r="F302" s="116">
        <f>E302-D302</f>
        <v>0</v>
      </c>
      <c r="G302" s="116"/>
      <c r="H302" s="116"/>
      <c r="I302" s="116">
        <f>H302-G302</f>
        <v>0</v>
      </c>
      <c r="J302" s="15"/>
      <c r="K302" s="15"/>
      <c r="L302" s="116"/>
    </row>
    <row r="303" spans="1:12" s="8" customFormat="1" ht="15" customHeight="1" hidden="1">
      <c r="A303" s="104"/>
      <c r="B303" s="9"/>
      <c r="C303" s="182"/>
      <c r="D303" s="116"/>
      <c r="E303" s="116"/>
      <c r="F303" s="116"/>
      <c r="G303" s="116"/>
      <c r="H303" s="116"/>
      <c r="I303" s="116"/>
      <c r="J303" s="15"/>
      <c r="K303" s="15"/>
      <c r="L303" s="116"/>
    </row>
    <row r="304" spans="1:12" s="8" customFormat="1" ht="15" customHeight="1" hidden="1">
      <c r="A304" s="173"/>
      <c r="B304" s="224" t="s">
        <v>2</v>
      </c>
      <c r="C304" s="225"/>
      <c r="D304" s="225"/>
      <c r="E304" s="225"/>
      <c r="F304" s="225"/>
      <c r="G304" s="225"/>
      <c r="H304" s="225"/>
      <c r="I304" s="225"/>
      <c r="J304" s="225"/>
      <c r="K304" s="225"/>
      <c r="L304" s="225"/>
    </row>
    <row r="305" spans="1:12" s="8" customFormat="1" ht="31.5" hidden="1">
      <c r="A305" s="103"/>
      <c r="B305" s="43" t="s">
        <v>3</v>
      </c>
      <c r="C305" s="186"/>
      <c r="D305" s="115">
        <f aca="true" t="shared" si="100" ref="D305:I305">SUM(D306:D306)</f>
        <v>762.552</v>
      </c>
      <c r="E305" s="115">
        <f t="shared" si="100"/>
        <v>762.552</v>
      </c>
      <c r="F305" s="115">
        <f t="shared" si="100"/>
        <v>0</v>
      </c>
      <c r="G305" s="115">
        <f t="shared" si="100"/>
        <v>0</v>
      </c>
      <c r="H305" s="115">
        <f t="shared" si="100"/>
        <v>0</v>
      </c>
      <c r="I305" s="115">
        <f t="shared" si="100"/>
        <v>0</v>
      </c>
      <c r="J305" s="16"/>
      <c r="K305" s="16"/>
      <c r="L305" s="115"/>
    </row>
    <row r="306" spans="1:12" s="8" customFormat="1" ht="15" customHeight="1" hidden="1">
      <c r="A306" s="103"/>
      <c r="B306" s="10" t="s">
        <v>600</v>
      </c>
      <c r="C306" s="186"/>
      <c r="D306" s="117">
        <v>762.552</v>
      </c>
      <c r="E306" s="117">
        <f>SUM(E309+E312)</f>
        <v>762.552</v>
      </c>
      <c r="F306" s="117">
        <f>SUM(F309+F312)</f>
        <v>0</v>
      </c>
      <c r="G306" s="117">
        <f>SUM(G309+G312)</f>
        <v>0</v>
      </c>
      <c r="H306" s="117">
        <f>SUM(H309+H312)</f>
        <v>0</v>
      </c>
      <c r="I306" s="117">
        <f>SUM(I309+I312)</f>
        <v>0</v>
      </c>
      <c r="J306" s="22"/>
      <c r="K306" s="22"/>
      <c r="L306" s="117"/>
    </row>
    <row r="307" spans="1:12" s="8" customFormat="1" ht="15" customHeight="1" hidden="1">
      <c r="A307" s="103"/>
      <c r="B307" s="12"/>
      <c r="C307" s="191"/>
      <c r="D307" s="156"/>
      <c r="E307" s="156"/>
      <c r="F307" s="156"/>
      <c r="G307" s="156"/>
      <c r="H307" s="156"/>
      <c r="I307" s="156"/>
      <c r="J307" s="6"/>
      <c r="K307" s="6"/>
      <c r="L307" s="156"/>
    </row>
    <row r="308" spans="1:12" s="8" customFormat="1" ht="99" customHeight="1" hidden="1">
      <c r="A308" s="103"/>
      <c r="B308" s="43" t="s">
        <v>292</v>
      </c>
      <c r="C308" s="195" t="s">
        <v>480</v>
      </c>
      <c r="D308" s="115">
        <f aca="true" t="shared" si="101" ref="D308:I308">SUM(D309:D309)</f>
        <v>401.552</v>
      </c>
      <c r="E308" s="115">
        <f t="shared" si="101"/>
        <v>401.552</v>
      </c>
      <c r="F308" s="115">
        <f t="shared" si="101"/>
        <v>0</v>
      </c>
      <c r="G308" s="115">
        <f t="shared" si="101"/>
        <v>0</v>
      </c>
      <c r="H308" s="115">
        <f t="shared" si="101"/>
        <v>0</v>
      </c>
      <c r="I308" s="115">
        <f t="shared" si="101"/>
        <v>0</v>
      </c>
      <c r="J308" s="16"/>
      <c r="K308" s="16"/>
      <c r="L308" s="115"/>
    </row>
    <row r="309" spans="1:12" s="8" customFormat="1" ht="15" customHeight="1" hidden="1">
      <c r="A309" s="103"/>
      <c r="B309" s="10" t="s">
        <v>600</v>
      </c>
      <c r="C309" s="186"/>
      <c r="D309" s="95">
        <v>401.552</v>
      </c>
      <c r="E309" s="95">
        <v>401.552</v>
      </c>
      <c r="F309" s="117">
        <f>D309-E309</f>
        <v>0</v>
      </c>
      <c r="G309" s="95"/>
      <c r="H309" s="117"/>
      <c r="I309" s="116">
        <f>H309-G309</f>
        <v>0</v>
      </c>
      <c r="J309" s="22"/>
      <c r="K309" s="22"/>
      <c r="L309" s="117"/>
    </row>
    <row r="310" spans="1:12" s="8" customFormat="1" ht="15" customHeight="1" hidden="1">
      <c r="A310" s="103"/>
      <c r="B310" s="10"/>
      <c r="C310" s="186"/>
      <c r="D310" s="95"/>
      <c r="E310" s="95"/>
      <c r="F310" s="117"/>
      <c r="G310" s="95"/>
      <c r="H310" s="117"/>
      <c r="I310" s="117"/>
      <c r="J310" s="22"/>
      <c r="K310" s="22"/>
      <c r="L310" s="117"/>
    </row>
    <row r="311" spans="1:12" s="8" customFormat="1" ht="66" customHeight="1" hidden="1">
      <c r="A311" s="103"/>
      <c r="B311" s="43" t="s">
        <v>293</v>
      </c>
      <c r="C311" s="195" t="s">
        <v>481</v>
      </c>
      <c r="D311" s="114">
        <f aca="true" t="shared" si="102" ref="D311:I311">SUM(D312:D312)</f>
        <v>361</v>
      </c>
      <c r="E311" s="114">
        <f t="shared" si="102"/>
        <v>361</v>
      </c>
      <c r="F311" s="115">
        <f t="shared" si="102"/>
        <v>0</v>
      </c>
      <c r="G311" s="114">
        <f t="shared" si="102"/>
        <v>0</v>
      </c>
      <c r="H311" s="115">
        <f t="shared" si="102"/>
        <v>0</v>
      </c>
      <c r="I311" s="115">
        <f t="shared" si="102"/>
        <v>0</v>
      </c>
      <c r="J311" s="16"/>
      <c r="K311" s="16"/>
      <c r="L311" s="115"/>
    </row>
    <row r="312" spans="1:12" s="8" customFormat="1" ht="15" customHeight="1" hidden="1">
      <c r="A312" s="103"/>
      <c r="B312" s="10" t="s">
        <v>600</v>
      </c>
      <c r="C312" s="186"/>
      <c r="D312" s="95">
        <v>361</v>
      </c>
      <c r="E312" s="95">
        <v>361</v>
      </c>
      <c r="F312" s="116">
        <f>E312-D312</f>
        <v>0</v>
      </c>
      <c r="G312" s="95"/>
      <c r="H312" s="117"/>
      <c r="I312" s="116">
        <f>H312-G312</f>
        <v>0</v>
      </c>
      <c r="J312" s="22"/>
      <c r="K312" s="22"/>
      <c r="L312" s="117"/>
    </row>
    <row r="313" spans="1:12" s="8" customFormat="1" ht="15" customHeight="1" hidden="1">
      <c r="A313" s="104"/>
      <c r="B313" s="9"/>
      <c r="C313" s="182"/>
      <c r="D313" s="117"/>
      <c r="E313" s="117"/>
      <c r="F313" s="117"/>
      <c r="G313" s="117"/>
      <c r="H313" s="117"/>
      <c r="I313" s="117"/>
      <c r="J313" s="22"/>
      <c r="K313" s="22"/>
      <c r="L313" s="117"/>
    </row>
    <row r="314" spans="1:12" s="7" customFormat="1" ht="15" customHeight="1" hidden="1">
      <c r="A314" s="172"/>
      <c r="B314" s="230" t="s">
        <v>595</v>
      </c>
      <c r="C314" s="231"/>
      <c r="D314" s="231"/>
      <c r="E314" s="231"/>
      <c r="F314" s="231"/>
      <c r="G314" s="231"/>
      <c r="H314" s="231"/>
      <c r="I314" s="231"/>
      <c r="J314" s="231"/>
      <c r="K314" s="231"/>
      <c r="L314" s="231"/>
    </row>
    <row r="315" spans="1:12" s="8" customFormat="1" ht="15.75" hidden="1">
      <c r="A315" s="103"/>
      <c r="B315" s="43" t="s">
        <v>26</v>
      </c>
      <c r="C315" s="186"/>
      <c r="D315" s="115">
        <f aca="true" t="shared" si="103" ref="D315:I315">SUM(D316:D319)</f>
        <v>158099.947</v>
      </c>
      <c r="E315" s="115">
        <f t="shared" si="103"/>
        <v>158099.947</v>
      </c>
      <c r="F315" s="115">
        <f t="shared" si="103"/>
        <v>0</v>
      </c>
      <c r="G315" s="115">
        <f t="shared" si="103"/>
        <v>23899.6</v>
      </c>
      <c r="H315" s="115">
        <f t="shared" si="103"/>
        <v>23899.6</v>
      </c>
      <c r="I315" s="115">
        <f t="shared" si="103"/>
        <v>0</v>
      </c>
      <c r="J315" s="16"/>
      <c r="K315" s="16"/>
      <c r="L315" s="115"/>
    </row>
    <row r="316" spans="1:12" s="8" customFormat="1" ht="15" customHeight="1" hidden="1">
      <c r="A316" s="103"/>
      <c r="B316" s="10" t="s">
        <v>600</v>
      </c>
      <c r="C316" s="186"/>
      <c r="D316" s="117">
        <f aca="true" t="shared" si="104" ref="D316:I316">SUM(D322+D328)</f>
        <v>73597.616</v>
      </c>
      <c r="E316" s="117">
        <f t="shared" si="104"/>
        <v>73597.616</v>
      </c>
      <c r="F316" s="95">
        <f t="shared" si="104"/>
        <v>0</v>
      </c>
      <c r="G316" s="117">
        <f t="shared" si="104"/>
        <v>11267.6</v>
      </c>
      <c r="H316" s="95">
        <f t="shared" si="104"/>
        <v>11267.6</v>
      </c>
      <c r="I316" s="95">
        <f t="shared" si="104"/>
        <v>0</v>
      </c>
      <c r="J316" s="22"/>
      <c r="K316" s="22"/>
      <c r="L316" s="95"/>
    </row>
    <row r="317" spans="1:12" s="8" customFormat="1" ht="15" customHeight="1" hidden="1">
      <c r="A317" s="103"/>
      <c r="B317" s="10" t="s">
        <v>601</v>
      </c>
      <c r="C317" s="186"/>
      <c r="D317" s="117"/>
      <c r="E317" s="117"/>
      <c r="F317" s="117"/>
      <c r="G317" s="117"/>
      <c r="H317" s="117"/>
      <c r="I317" s="117"/>
      <c r="J317" s="22"/>
      <c r="K317" s="22"/>
      <c r="L317" s="117"/>
    </row>
    <row r="318" spans="1:12" s="8" customFormat="1" ht="15" customHeight="1" hidden="1">
      <c r="A318" s="103"/>
      <c r="B318" s="10" t="s">
        <v>602</v>
      </c>
      <c r="C318" s="186"/>
      <c r="D318" s="117">
        <f aca="true" t="shared" si="105" ref="D318:I318">SUM(D330)</f>
        <v>84502.331</v>
      </c>
      <c r="E318" s="117">
        <f t="shared" si="105"/>
        <v>84502.331</v>
      </c>
      <c r="F318" s="117">
        <f t="shared" si="105"/>
        <v>0</v>
      </c>
      <c r="G318" s="117">
        <f t="shared" si="105"/>
        <v>12632</v>
      </c>
      <c r="H318" s="117">
        <f t="shared" si="105"/>
        <v>12632</v>
      </c>
      <c r="I318" s="117">
        <f t="shared" si="105"/>
        <v>0</v>
      </c>
      <c r="J318" s="22"/>
      <c r="K318" s="22"/>
      <c r="L318" s="117"/>
    </row>
    <row r="319" spans="1:12" s="8" customFormat="1" ht="15" customHeight="1" hidden="1">
      <c r="A319" s="103"/>
      <c r="B319" s="10" t="s">
        <v>603</v>
      </c>
      <c r="C319" s="186"/>
      <c r="D319" s="117"/>
      <c r="E319" s="117"/>
      <c r="F319" s="117"/>
      <c r="G319" s="117"/>
      <c r="H319" s="117"/>
      <c r="I319" s="117"/>
      <c r="J319" s="22"/>
      <c r="K319" s="22"/>
      <c r="L319" s="117"/>
    </row>
    <row r="320" spans="1:12" s="8" customFormat="1" ht="15" customHeight="1" hidden="1">
      <c r="A320" s="175"/>
      <c r="B320" s="236" t="s">
        <v>604</v>
      </c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</row>
    <row r="321" spans="1:12" s="8" customFormat="1" ht="35.25" customHeight="1" hidden="1">
      <c r="A321" s="103"/>
      <c r="B321" s="43" t="s">
        <v>21</v>
      </c>
      <c r="C321" s="186"/>
      <c r="D321" s="115"/>
      <c r="E321" s="115"/>
      <c r="F321" s="115"/>
      <c r="G321" s="115"/>
      <c r="H321" s="115"/>
      <c r="I321" s="115"/>
      <c r="J321" s="16"/>
      <c r="K321" s="16"/>
      <c r="L321" s="115"/>
    </row>
    <row r="322" spans="1:12" s="8" customFormat="1" ht="15" customHeight="1" hidden="1">
      <c r="A322" s="103"/>
      <c r="B322" s="10" t="s">
        <v>600</v>
      </c>
      <c r="C322" s="186"/>
      <c r="D322" s="117"/>
      <c r="E322" s="117"/>
      <c r="F322" s="117"/>
      <c r="G322" s="117"/>
      <c r="H322" s="117"/>
      <c r="I322" s="117"/>
      <c r="J322" s="22"/>
      <c r="K322" s="22"/>
      <c r="L322" s="117"/>
    </row>
    <row r="323" spans="1:12" s="8" customFormat="1" ht="15" customHeight="1" hidden="1">
      <c r="A323" s="176"/>
      <c r="B323" s="227" t="s">
        <v>605</v>
      </c>
      <c r="C323" s="228"/>
      <c r="D323" s="228"/>
      <c r="E323" s="228"/>
      <c r="F323" s="228"/>
      <c r="G323" s="228"/>
      <c r="H323" s="228"/>
      <c r="I323" s="228"/>
      <c r="J323" s="228"/>
      <c r="K323" s="228"/>
      <c r="L323" s="228"/>
    </row>
    <row r="324" spans="1:12" s="8" customFormat="1" ht="48.75" customHeight="1" hidden="1">
      <c r="A324" s="103"/>
      <c r="B324" s="43" t="s">
        <v>279</v>
      </c>
      <c r="C324" s="186"/>
      <c r="D324" s="115"/>
      <c r="E324" s="115"/>
      <c r="F324" s="115"/>
      <c r="G324" s="115"/>
      <c r="H324" s="115"/>
      <c r="I324" s="115"/>
      <c r="J324" s="16"/>
      <c r="K324" s="16"/>
      <c r="L324" s="115"/>
    </row>
    <row r="325" spans="1:12" s="8" customFormat="1" ht="15" customHeight="1" hidden="1">
      <c r="A325" s="103"/>
      <c r="B325" s="10" t="s">
        <v>600</v>
      </c>
      <c r="C325" s="186"/>
      <c r="D325" s="117"/>
      <c r="E325" s="117"/>
      <c r="F325" s="117"/>
      <c r="G325" s="117"/>
      <c r="H325" s="117"/>
      <c r="I325" s="117"/>
      <c r="J325" s="22"/>
      <c r="K325" s="22"/>
      <c r="L325" s="117"/>
    </row>
    <row r="326" spans="1:12" s="8" customFormat="1" ht="15" customHeight="1" hidden="1">
      <c r="A326" s="173"/>
      <c r="B326" s="224" t="s">
        <v>2</v>
      </c>
      <c r="C326" s="225"/>
      <c r="D326" s="225"/>
      <c r="E326" s="225"/>
      <c r="F326" s="225"/>
      <c r="G326" s="225"/>
      <c r="H326" s="225"/>
      <c r="I326" s="225"/>
      <c r="J326" s="225"/>
      <c r="K326" s="225"/>
      <c r="L326" s="225"/>
    </row>
    <row r="327" spans="1:12" s="8" customFormat="1" ht="31.5" hidden="1">
      <c r="A327" s="103"/>
      <c r="B327" s="43" t="s">
        <v>3</v>
      </c>
      <c r="C327" s="186"/>
      <c r="D327" s="115">
        <f aca="true" t="shared" si="106" ref="D327:I327">SUM(D328:D330)</f>
        <v>158099.947</v>
      </c>
      <c r="E327" s="115">
        <f t="shared" si="106"/>
        <v>158099.947</v>
      </c>
      <c r="F327" s="115">
        <f t="shared" si="106"/>
        <v>0</v>
      </c>
      <c r="G327" s="115">
        <f t="shared" si="106"/>
        <v>23899.6</v>
      </c>
      <c r="H327" s="115">
        <f t="shared" si="106"/>
        <v>23899.6</v>
      </c>
      <c r="I327" s="115">
        <f t="shared" si="106"/>
        <v>0</v>
      </c>
      <c r="J327" s="16"/>
      <c r="K327" s="16"/>
      <c r="L327" s="115"/>
    </row>
    <row r="328" spans="1:12" s="8" customFormat="1" ht="15" customHeight="1" hidden="1">
      <c r="A328" s="103"/>
      <c r="B328" s="10" t="s">
        <v>600</v>
      </c>
      <c r="C328" s="186"/>
      <c r="D328" s="117">
        <f aca="true" t="shared" si="107" ref="D328:I328">SUM(D333+D337+D340+D344)</f>
        <v>73597.616</v>
      </c>
      <c r="E328" s="117">
        <f t="shared" si="107"/>
        <v>73597.616</v>
      </c>
      <c r="F328" s="117">
        <f t="shared" si="107"/>
        <v>0</v>
      </c>
      <c r="G328" s="117">
        <f t="shared" si="107"/>
        <v>11267.6</v>
      </c>
      <c r="H328" s="117">
        <f t="shared" si="107"/>
        <v>11267.6</v>
      </c>
      <c r="I328" s="117">
        <f t="shared" si="107"/>
        <v>0</v>
      </c>
      <c r="J328" s="22"/>
      <c r="K328" s="22"/>
      <c r="L328" s="117"/>
    </row>
    <row r="329" spans="1:12" s="8" customFormat="1" ht="15" customHeight="1" hidden="1">
      <c r="A329" s="103"/>
      <c r="B329" s="10" t="s">
        <v>601</v>
      </c>
      <c r="C329" s="186"/>
      <c r="D329" s="117"/>
      <c r="E329" s="117"/>
      <c r="F329" s="117"/>
      <c r="G329" s="117"/>
      <c r="H329" s="117"/>
      <c r="I329" s="117"/>
      <c r="J329" s="22"/>
      <c r="K329" s="22"/>
      <c r="L329" s="117"/>
    </row>
    <row r="330" spans="1:12" s="8" customFormat="1" ht="15" customHeight="1" hidden="1">
      <c r="A330" s="103"/>
      <c r="B330" s="10" t="s">
        <v>602</v>
      </c>
      <c r="C330" s="186"/>
      <c r="D330" s="95">
        <f aca="true" t="shared" si="108" ref="D330:I330">SUM(D341+D334+D345)</f>
        <v>84502.331</v>
      </c>
      <c r="E330" s="95">
        <f t="shared" si="108"/>
        <v>84502.331</v>
      </c>
      <c r="F330" s="95">
        <f t="shared" si="108"/>
        <v>0</v>
      </c>
      <c r="G330" s="95">
        <f t="shared" si="108"/>
        <v>12632</v>
      </c>
      <c r="H330" s="95">
        <f t="shared" si="108"/>
        <v>12632</v>
      </c>
      <c r="I330" s="95">
        <f t="shared" si="108"/>
        <v>0</v>
      </c>
      <c r="J330" s="34"/>
      <c r="K330" s="95"/>
      <c r="L330" s="95"/>
    </row>
    <row r="331" spans="1:12" s="8" customFormat="1" ht="15" customHeight="1" hidden="1">
      <c r="A331" s="103"/>
      <c r="B331" s="10"/>
      <c r="C331" s="186"/>
      <c r="D331" s="117"/>
      <c r="E331" s="117"/>
      <c r="F331" s="117"/>
      <c r="G331" s="117"/>
      <c r="H331" s="117"/>
      <c r="I331" s="117"/>
      <c r="J331" s="22"/>
      <c r="K331" s="22"/>
      <c r="L331" s="117"/>
    </row>
    <row r="332" spans="1:12" s="8" customFormat="1" ht="118.5" customHeight="1" hidden="1">
      <c r="A332" s="103"/>
      <c r="B332" s="43" t="s">
        <v>22</v>
      </c>
      <c r="C332" s="195" t="s">
        <v>482</v>
      </c>
      <c r="D332" s="115">
        <f aca="true" t="shared" si="109" ref="D332:I332">SUM(D333:D334)</f>
        <v>24558.100000000002</v>
      </c>
      <c r="E332" s="115">
        <f t="shared" si="109"/>
        <v>24558.100000000002</v>
      </c>
      <c r="F332" s="115">
        <f t="shared" si="109"/>
        <v>0</v>
      </c>
      <c r="G332" s="115">
        <f t="shared" si="109"/>
        <v>3683.4</v>
      </c>
      <c r="H332" s="114">
        <f t="shared" si="109"/>
        <v>3683.4</v>
      </c>
      <c r="I332" s="115">
        <f t="shared" si="109"/>
        <v>0</v>
      </c>
      <c r="J332" s="198"/>
      <c r="K332" s="198"/>
      <c r="L332" s="198"/>
    </row>
    <row r="333" spans="1:12" s="8" customFormat="1" ht="15" customHeight="1" hidden="1">
      <c r="A333" s="103"/>
      <c r="B333" s="10" t="s">
        <v>600</v>
      </c>
      <c r="C333" s="186"/>
      <c r="D333" s="116">
        <v>16443.4</v>
      </c>
      <c r="E333" s="116">
        <v>16443.4</v>
      </c>
      <c r="F333" s="116">
        <f>E333-D333</f>
        <v>0</v>
      </c>
      <c r="G333" s="116">
        <v>1841.7</v>
      </c>
      <c r="H333" s="116">
        <v>1841.7</v>
      </c>
      <c r="I333" s="116">
        <f>H333-G333</f>
        <v>0</v>
      </c>
      <c r="J333" s="22"/>
      <c r="K333" s="22"/>
      <c r="L333" s="116"/>
    </row>
    <row r="334" spans="1:12" s="8" customFormat="1" ht="15" customHeight="1" hidden="1">
      <c r="A334" s="104"/>
      <c r="B334" s="11" t="s">
        <v>602</v>
      </c>
      <c r="C334" s="186"/>
      <c r="D334" s="116">
        <v>8114.7</v>
      </c>
      <c r="E334" s="116">
        <v>8114.7</v>
      </c>
      <c r="F334" s="116">
        <f>E334-D334</f>
        <v>0</v>
      </c>
      <c r="G334" s="116">
        <v>1841.7</v>
      </c>
      <c r="H334" s="116">
        <v>1841.7</v>
      </c>
      <c r="I334" s="116">
        <f>H334-G334</f>
        <v>0</v>
      </c>
      <c r="J334" s="22"/>
      <c r="K334" s="22"/>
      <c r="L334" s="116"/>
    </row>
    <row r="335" spans="1:12" s="8" customFormat="1" ht="15" customHeight="1" hidden="1">
      <c r="A335" s="103"/>
      <c r="B335" s="11"/>
      <c r="C335" s="186"/>
      <c r="D335" s="116"/>
      <c r="E335" s="116"/>
      <c r="F335" s="117"/>
      <c r="G335" s="116"/>
      <c r="H335" s="117"/>
      <c r="I335" s="117"/>
      <c r="J335" s="22"/>
      <c r="K335" s="22"/>
      <c r="L335" s="117"/>
    </row>
    <row r="336" spans="1:12" s="8" customFormat="1" ht="112.5" customHeight="1" hidden="1">
      <c r="A336" s="103"/>
      <c r="B336" s="43" t="s">
        <v>27</v>
      </c>
      <c r="C336" s="195" t="s">
        <v>483</v>
      </c>
      <c r="D336" s="115">
        <f aca="true" t="shared" si="110" ref="D336:I336">SUM(D337:D337)</f>
        <v>13208.3</v>
      </c>
      <c r="E336" s="115">
        <f t="shared" si="110"/>
        <v>13208.3</v>
      </c>
      <c r="F336" s="115">
        <f t="shared" si="110"/>
        <v>0</v>
      </c>
      <c r="G336" s="115">
        <f t="shared" si="110"/>
        <v>2158.3</v>
      </c>
      <c r="H336" s="115">
        <f t="shared" si="110"/>
        <v>2158.3</v>
      </c>
      <c r="I336" s="115">
        <f t="shared" si="110"/>
        <v>0</v>
      </c>
      <c r="J336" s="198"/>
      <c r="K336" s="198"/>
      <c r="L336" s="198"/>
    </row>
    <row r="337" spans="1:12" s="8" customFormat="1" ht="15" customHeight="1" hidden="1">
      <c r="A337" s="103"/>
      <c r="B337" s="10" t="s">
        <v>600</v>
      </c>
      <c r="C337" s="186"/>
      <c r="D337" s="116">
        <v>13208.3</v>
      </c>
      <c r="E337" s="116">
        <v>13208.3</v>
      </c>
      <c r="F337" s="116">
        <f>E337-D337</f>
        <v>0</v>
      </c>
      <c r="G337" s="116">
        <v>2158.3</v>
      </c>
      <c r="H337" s="116">
        <v>2158.3</v>
      </c>
      <c r="I337" s="116">
        <f>H337-G337</f>
        <v>0</v>
      </c>
      <c r="J337" s="22"/>
      <c r="K337" s="22"/>
      <c r="L337" s="116"/>
    </row>
    <row r="338" spans="1:12" s="8" customFormat="1" ht="15" customHeight="1" hidden="1">
      <c r="A338" s="103"/>
      <c r="B338" s="10"/>
      <c r="C338" s="186"/>
      <c r="D338" s="116"/>
      <c r="E338" s="116"/>
      <c r="F338" s="117"/>
      <c r="G338" s="116"/>
      <c r="H338" s="117"/>
      <c r="I338" s="117"/>
      <c r="J338" s="22"/>
      <c r="K338" s="22"/>
      <c r="L338" s="117"/>
    </row>
    <row r="339" spans="1:12" s="8" customFormat="1" ht="68.25" customHeight="1" hidden="1">
      <c r="A339" s="103"/>
      <c r="B339" s="43" t="s">
        <v>23</v>
      </c>
      <c r="C339" s="195" t="s">
        <v>484</v>
      </c>
      <c r="D339" s="115">
        <f aca="true" t="shared" si="111" ref="D339:I339">SUM(D340:D341)</f>
        <v>106441.626</v>
      </c>
      <c r="E339" s="115">
        <f t="shared" si="111"/>
        <v>106441.626</v>
      </c>
      <c r="F339" s="115">
        <f t="shared" si="111"/>
        <v>0</v>
      </c>
      <c r="G339" s="114">
        <f t="shared" si="111"/>
        <v>15947.3</v>
      </c>
      <c r="H339" s="114">
        <f t="shared" si="111"/>
        <v>15947.3</v>
      </c>
      <c r="I339" s="114">
        <f t="shared" si="111"/>
        <v>0</v>
      </c>
      <c r="J339" s="214" t="s">
        <v>530</v>
      </c>
      <c r="K339" s="214" t="s">
        <v>530</v>
      </c>
      <c r="L339" s="214" t="s">
        <v>531</v>
      </c>
    </row>
    <row r="340" spans="1:12" s="8" customFormat="1" ht="15" customHeight="1" hidden="1">
      <c r="A340" s="103"/>
      <c r="B340" s="10" t="s">
        <v>600</v>
      </c>
      <c r="C340" s="186"/>
      <c r="D340" s="116">
        <f>30935.326+657</f>
        <v>31592.326</v>
      </c>
      <c r="E340" s="116">
        <f>30935.326+657</f>
        <v>31592.326</v>
      </c>
      <c r="F340" s="116">
        <f>E340-D340</f>
        <v>0</v>
      </c>
      <c r="G340" s="116">
        <v>5157</v>
      </c>
      <c r="H340" s="116">
        <v>5157</v>
      </c>
      <c r="I340" s="116">
        <f>H340-G340</f>
        <v>0</v>
      </c>
      <c r="J340" s="15"/>
      <c r="K340" s="15"/>
      <c r="L340" s="116"/>
    </row>
    <row r="341" spans="1:12" s="8" customFormat="1" ht="15" customHeight="1" hidden="1">
      <c r="A341" s="103"/>
      <c r="B341" s="10" t="s">
        <v>602</v>
      </c>
      <c r="C341" s="186"/>
      <c r="D341" s="111">
        <v>74849.3</v>
      </c>
      <c r="E341" s="111">
        <v>74849.3</v>
      </c>
      <c r="F341" s="116">
        <f>E341-D341</f>
        <v>0</v>
      </c>
      <c r="G341" s="111">
        <v>10790.3</v>
      </c>
      <c r="H341" s="111">
        <v>10790.3</v>
      </c>
      <c r="I341" s="116">
        <f>H341-G341</f>
        <v>0</v>
      </c>
      <c r="J341" s="15"/>
      <c r="K341" s="15"/>
      <c r="L341" s="116"/>
    </row>
    <row r="342" spans="1:12" s="8" customFormat="1" ht="15" customHeight="1" hidden="1">
      <c r="A342" s="103"/>
      <c r="B342" s="10"/>
      <c r="C342" s="186"/>
      <c r="D342" s="111"/>
      <c r="E342" s="111"/>
      <c r="F342" s="111"/>
      <c r="G342" s="111"/>
      <c r="H342" s="111"/>
      <c r="I342" s="111"/>
      <c r="J342" s="15"/>
      <c r="K342" s="15"/>
      <c r="L342" s="111"/>
    </row>
    <row r="343" spans="1:12" s="8" customFormat="1" ht="82.5" customHeight="1" hidden="1">
      <c r="A343" s="103"/>
      <c r="B343" s="43" t="s">
        <v>28</v>
      </c>
      <c r="C343" s="195" t="s">
        <v>482</v>
      </c>
      <c r="D343" s="115">
        <f aca="true" t="shared" si="112" ref="D343:I343">SUM(D344:D345)</f>
        <v>13891.921</v>
      </c>
      <c r="E343" s="115">
        <f t="shared" si="112"/>
        <v>13891.921</v>
      </c>
      <c r="F343" s="115">
        <f t="shared" si="112"/>
        <v>0</v>
      </c>
      <c r="G343" s="115">
        <f t="shared" si="112"/>
        <v>2110.6</v>
      </c>
      <c r="H343" s="115">
        <f t="shared" si="112"/>
        <v>2110.6</v>
      </c>
      <c r="I343" s="115">
        <f t="shared" si="112"/>
        <v>0</v>
      </c>
      <c r="J343" s="16"/>
      <c r="K343" s="16"/>
      <c r="L343" s="115"/>
    </row>
    <row r="344" spans="1:12" s="8" customFormat="1" ht="15" customHeight="1" hidden="1">
      <c r="A344" s="103"/>
      <c r="B344" s="10" t="s">
        <v>600</v>
      </c>
      <c r="C344" s="186"/>
      <c r="D344" s="116">
        <v>12353.59</v>
      </c>
      <c r="E344" s="116">
        <v>12353.59</v>
      </c>
      <c r="F344" s="116">
        <f>E344-D344</f>
        <v>0</v>
      </c>
      <c r="G344" s="116">
        <v>2110.6</v>
      </c>
      <c r="H344" s="117">
        <v>2110.6</v>
      </c>
      <c r="I344" s="116">
        <f>H344-G344</f>
        <v>0</v>
      </c>
      <c r="J344" s="22"/>
      <c r="K344" s="22"/>
      <c r="L344" s="116"/>
    </row>
    <row r="345" spans="1:12" s="8" customFormat="1" ht="15" customHeight="1" hidden="1">
      <c r="A345" s="103"/>
      <c r="B345" s="10" t="s">
        <v>602</v>
      </c>
      <c r="C345" s="186"/>
      <c r="D345" s="116">
        <v>1538.331</v>
      </c>
      <c r="E345" s="116">
        <v>1538.331</v>
      </c>
      <c r="F345" s="116">
        <f>E345-D345</f>
        <v>0</v>
      </c>
      <c r="G345" s="116"/>
      <c r="H345" s="117"/>
      <c r="I345" s="116">
        <f>H345-G345</f>
        <v>0</v>
      </c>
      <c r="J345" s="22"/>
      <c r="K345" s="22"/>
      <c r="L345" s="116"/>
    </row>
    <row r="346" spans="1:12" s="8" customFormat="1" ht="15" customHeight="1">
      <c r="A346" s="104"/>
      <c r="B346" s="10"/>
      <c r="C346" s="182"/>
      <c r="D346" s="116"/>
      <c r="E346" s="116"/>
      <c r="F346" s="117"/>
      <c r="G346" s="116"/>
      <c r="H346" s="117"/>
      <c r="I346" s="117"/>
      <c r="J346" s="22"/>
      <c r="K346" s="22"/>
      <c r="L346" s="117"/>
    </row>
    <row r="347" spans="1:12" s="7" customFormat="1" ht="30.75" customHeight="1">
      <c r="A347" s="172"/>
      <c r="B347" s="230" t="s">
        <v>48</v>
      </c>
      <c r="C347" s="231"/>
      <c r="D347" s="231"/>
      <c r="E347" s="231"/>
      <c r="F347" s="231"/>
      <c r="G347" s="231"/>
      <c r="H347" s="231"/>
      <c r="I347" s="231"/>
      <c r="J347" s="231"/>
      <c r="K347" s="231"/>
      <c r="L347" s="231"/>
    </row>
    <row r="348" spans="1:12" s="8" customFormat="1" ht="15.75">
      <c r="A348" s="103" t="s">
        <v>548</v>
      </c>
      <c r="B348" s="43" t="s">
        <v>29</v>
      </c>
      <c r="C348" s="182"/>
      <c r="D348" s="115">
        <f aca="true" t="shared" si="113" ref="D348:I348">SUM(D349:D351)</f>
        <v>226269.73200000002</v>
      </c>
      <c r="E348" s="115">
        <f t="shared" si="113"/>
        <v>225719.73200000002</v>
      </c>
      <c r="F348" s="115">
        <f t="shared" si="113"/>
        <v>-550</v>
      </c>
      <c r="G348" s="115">
        <f t="shared" si="113"/>
        <v>34452.5</v>
      </c>
      <c r="H348" s="115">
        <f t="shared" si="113"/>
        <v>33902.5</v>
      </c>
      <c r="I348" s="115">
        <f t="shared" si="113"/>
        <v>-550</v>
      </c>
      <c r="J348" s="16"/>
      <c r="K348" s="16"/>
      <c r="L348" s="115"/>
    </row>
    <row r="349" spans="1:12" s="8" customFormat="1" ht="15" customHeight="1">
      <c r="A349" s="103" t="s">
        <v>549</v>
      </c>
      <c r="B349" s="10" t="s">
        <v>600</v>
      </c>
      <c r="C349" s="186"/>
      <c r="D349" s="117">
        <f aca="true" t="shared" si="114" ref="D349:I349">SUM(D355+D373)</f>
        <v>225519.73200000002</v>
      </c>
      <c r="E349" s="117">
        <f t="shared" si="114"/>
        <v>224969.73200000002</v>
      </c>
      <c r="F349" s="95">
        <f t="shared" si="114"/>
        <v>-550</v>
      </c>
      <c r="G349" s="117">
        <f t="shared" si="114"/>
        <v>34452.5</v>
      </c>
      <c r="H349" s="95">
        <f t="shared" si="114"/>
        <v>33902.5</v>
      </c>
      <c r="I349" s="95">
        <f t="shared" si="114"/>
        <v>-550</v>
      </c>
      <c r="J349" s="22"/>
      <c r="K349" s="22"/>
      <c r="L349" s="95"/>
    </row>
    <row r="350" spans="1:12" s="8" customFormat="1" ht="15" customHeight="1">
      <c r="A350" s="103" t="s">
        <v>550</v>
      </c>
      <c r="B350" s="10" t="s">
        <v>601</v>
      </c>
      <c r="C350" s="186"/>
      <c r="D350" s="117"/>
      <c r="E350" s="117"/>
      <c r="F350" s="117"/>
      <c r="G350" s="117"/>
      <c r="H350" s="117"/>
      <c r="I350" s="117"/>
      <c r="J350" s="22"/>
      <c r="K350" s="22"/>
      <c r="L350" s="117"/>
    </row>
    <row r="351" spans="1:12" s="8" customFormat="1" ht="15" customHeight="1">
      <c r="A351" s="103" t="s">
        <v>551</v>
      </c>
      <c r="B351" s="10" t="s">
        <v>602</v>
      </c>
      <c r="C351" s="186"/>
      <c r="D351" s="117">
        <f aca="true" t="shared" si="115" ref="D351:I351">SUM(D357)</f>
        <v>750</v>
      </c>
      <c r="E351" s="117">
        <f t="shared" si="115"/>
        <v>750</v>
      </c>
      <c r="F351" s="117">
        <f t="shared" si="115"/>
        <v>0</v>
      </c>
      <c r="G351" s="117">
        <f t="shared" si="115"/>
        <v>0</v>
      </c>
      <c r="H351" s="117">
        <f t="shared" si="115"/>
        <v>0</v>
      </c>
      <c r="I351" s="117">
        <f t="shared" si="115"/>
        <v>0</v>
      </c>
      <c r="J351" s="22"/>
      <c r="K351" s="22"/>
      <c r="L351" s="117"/>
    </row>
    <row r="352" spans="1:12" s="8" customFormat="1" ht="15" customHeight="1">
      <c r="A352" s="103"/>
      <c r="B352" s="10"/>
      <c r="C352" s="186"/>
      <c r="D352" s="117"/>
      <c r="E352" s="117"/>
      <c r="F352" s="117"/>
      <c r="G352" s="117"/>
      <c r="H352" s="117"/>
      <c r="I352" s="117"/>
      <c r="J352" s="22"/>
      <c r="K352" s="22"/>
      <c r="L352" s="117"/>
    </row>
    <row r="353" spans="1:12" s="8" customFormat="1" ht="15" customHeight="1" hidden="1">
      <c r="A353" s="173"/>
      <c r="B353" s="224" t="s">
        <v>604</v>
      </c>
      <c r="C353" s="225"/>
      <c r="D353" s="225"/>
      <c r="E353" s="225"/>
      <c r="F353" s="225"/>
      <c r="G353" s="225"/>
      <c r="H353" s="225"/>
      <c r="I353" s="225"/>
      <c r="J353" s="225"/>
      <c r="K353" s="225"/>
      <c r="L353" s="225"/>
    </row>
    <row r="354" spans="1:12" s="8" customFormat="1" ht="36" customHeight="1" hidden="1">
      <c r="A354" s="103"/>
      <c r="B354" s="43" t="s">
        <v>21</v>
      </c>
      <c r="C354" s="186"/>
      <c r="D354" s="97">
        <f aca="true" t="shared" si="116" ref="D354:I354">SUM(D355:D357)</f>
        <v>5250</v>
      </c>
      <c r="E354" s="97">
        <f t="shared" si="116"/>
        <v>5250</v>
      </c>
      <c r="F354" s="97">
        <f t="shared" si="116"/>
        <v>0</v>
      </c>
      <c r="G354" s="97">
        <f t="shared" si="116"/>
        <v>0</v>
      </c>
      <c r="H354" s="97">
        <f t="shared" si="116"/>
        <v>0</v>
      </c>
      <c r="I354" s="97">
        <f t="shared" si="116"/>
        <v>0</v>
      </c>
      <c r="J354" s="18"/>
      <c r="K354" s="18"/>
      <c r="L354" s="97"/>
    </row>
    <row r="355" spans="1:12" s="8" customFormat="1" ht="15" customHeight="1" hidden="1">
      <c r="A355" s="103"/>
      <c r="B355" s="10" t="s">
        <v>600</v>
      </c>
      <c r="C355" s="186"/>
      <c r="D355" s="117">
        <f aca="true" t="shared" si="117" ref="D355:I355">SUM(D361+D365+D368)</f>
        <v>4500</v>
      </c>
      <c r="E355" s="117">
        <f t="shared" si="117"/>
        <v>4500</v>
      </c>
      <c r="F355" s="117">
        <f t="shared" si="117"/>
        <v>0</v>
      </c>
      <c r="G355" s="117">
        <f t="shared" si="117"/>
        <v>0</v>
      </c>
      <c r="H355" s="117">
        <f t="shared" si="117"/>
        <v>0</v>
      </c>
      <c r="I355" s="117">
        <f t="shared" si="117"/>
        <v>0</v>
      </c>
      <c r="J355" s="22"/>
      <c r="K355" s="22"/>
      <c r="L355" s="117"/>
    </row>
    <row r="356" spans="1:12" s="8" customFormat="1" ht="15" customHeight="1" hidden="1">
      <c r="A356" s="103"/>
      <c r="B356" s="10" t="s">
        <v>601</v>
      </c>
      <c r="C356" s="186"/>
      <c r="D356" s="117"/>
      <c r="E356" s="117"/>
      <c r="F356" s="117"/>
      <c r="G356" s="117"/>
      <c r="H356" s="117"/>
      <c r="I356" s="117"/>
      <c r="J356" s="22"/>
      <c r="K356" s="22"/>
      <c r="L356" s="117"/>
    </row>
    <row r="357" spans="1:12" s="8" customFormat="1" ht="15" customHeight="1" hidden="1">
      <c r="A357" s="103"/>
      <c r="B357" s="10" t="s">
        <v>602</v>
      </c>
      <c r="C357" s="186"/>
      <c r="D357" s="117">
        <f aca="true" t="shared" si="118" ref="D357:I357">SUM(D369)</f>
        <v>750</v>
      </c>
      <c r="E357" s="117">
        <f t="shared" si="118"/>
        <v>750</v>
      </c>
      <c r="F357" s="117">
        <f t="shared" si="118"/>
        <v>0</v>
      </c>
      <c r="G357" s="117">
        <f t="shared" si="118"/>
        <v>0</v>
      </c>
      <c r="H357" s="117">
        <f t="shared" si="118"/>
        <v>0</v>
      </c>
      <c r="I357" s="117">
        <f t="shared" si="118"/>
        <v>0</v>
      </c>
      <c r="J357" s="22"/>
      <c r="K357" s="22"/>
      <c r="L357" s="117"/>
    </row>
    <row r="358" spans="1:12" s="8" customFormat="1" ht="15" customHeight="1" hidden="1">
      <c r="A358" s="104"/>
      <c r="B358" s="5"/>
      <c r="C358" s="186"/>
      <c r="D358" s="117"/>
      <c r="E358" s="117"/>
      <c r="F358" s="117"/>
      <c r="G358" s="117"/>
      <c r="H358" s="117"/>
      <c r="I358" s="117"/>
      <c r="J358" s="22"/>
      <c r="K358" s="22"/>
      <c r="L358" s="117"/>
    </row>
    <row r="359" spans="1:12" s="8" customFormat="1" ht="15" customHeight="1" hidden="1">
      <c r="A359" s="174"/>
      <c r="B359" s="233" t="s">
        <v>605</v>
      </c>
      <c r="C359" s="234"/>
      <c r="D359" s="234"/>
      <c r="E359" s="234"/>
      <c r="F359" s="234"/>
      <c r="G359" s="234"/>
      <c r="H359" s="234"/>
      <c r="I359" s="234"/>
      <c r="J359" s="234"/>
      <c r="K359" s="234"/>
      <c r="L359" s="234"/>
    </row>
    <row r="360" spans="1:12" s="8" customFormat="1" ht="68.25" customHeight="1" hidden="1">
      <c r="A360" s="103"/>
      <c r="B360" s="43" t="s">
        <v>280</v>
      </c>
      <c r="C360" s="186"/>
      <c r="D360" s="115">
        <f aca="true" t="shared" si="119" ref="D360:I360">SUM(D361:D362)</f>
        <v>0</v>
      </c>
      <c r="E360" s="115">
        <f t="shared" si="119"/>
        <v>0</v>
      </c>
      <c r="F360" s="115">
        <f t="shared" si="119"/>
        <v>0</v>
      </c>
      <c r="G360" s="115">
        <f t="shared" si="119"/>
        <v>0</v>
      </c>
      <c r="H360" s="115">
        <f t="shared" si="119"/>
        <v>0</v>
      </c>
      <c r="I360" s="115">
        <f t="shared" si="119"/>
        <v>0</v>
      </c>
      <c r="J360" s="16"/>
      <c r="K360" s="16"/>
      <c r="L360" s="115"/>
    </row>
    <row r="361" spans="1:12" s="8" customFormat="1" ht="15" customHeight="1" hidden="1">
      <c r="A361" s="103"/>
      <c r="B361" s="10" t="s">
        <v>600</v>
      </c>
      <c r="C361" s="186"/>
      <c r="D361" s="117"/>
      <c r="E361" s="117"/>
      <c r="F361" s="117"/>
      <c r="G361" s="117"/>
      <c r="H361" s="117"/>
      <c r="I361" s="117"/>
      <c r="J361" s="22"/>
      <c r="K361" s="22"/>
      <c r="L361" s="117"/>
    </row>
    <row r="362" spans="1:12" s="8" customFormat="1" ht="15" customHeight="1" hidden="1">
      <c r="A362" s="103"/>
      <c r="B362" s="10"/>
      <c r="C362" s="186"/>
      <c r="D362" s="117"/>
      <c r="E362" s="117"/>
      <c r="F362" s="117"/>
      <c r="G362" s="117"/>
      <c r="H362" s="117"/>
      <c r="I362" s="117"/>
      <c r="J362" s="22"/>
      <c r="K362" s="22"/>
      <c r="L362" s="117"/>
    </row>
    <row r="363" spans="1:12" s="8" customFormat="1" ht="15" customHeight="1" hidden="1">
      <c r="A363" s="174"/>
      <c r="B363" s="233" t="s">
        <v>10</v>
      </c>
      <c r="C363" s="234"/>
      <c r="D363" s="234"/>
      <c r="E363" s="234"/>
      <c r="F363" s="234"/>
      <c r="G363" s="234"/>
      <c r="H363" s="234"/>
      <c r="I363" s="234"/>
      <c r="J363" s="234"/>
      <c r="K363" s="234"/>
      <c r="L363" s="234"/>
    </row>
    <row r="364" spans="1:12" s="8" customFormat="1" ht="95.25" customHeight="1" hidden="1">
      <c r="A364" s="103"/>
      <c r="B364" s="43" t="s">
        <v>32</v>
      </c>
      <c r="C364" s="195" t="s">
        <v>485</v>
      </c>
      <c r="D364" s="115">
        <f aca="true" t="shared" si="120" ref="D364:I364">SUM(D365)</f>
        <v>1500</v>
      </c>
      <c r="E364" s="115">
        <f t="shared" si="120"/>
        <v>1500</v>
      </c>
      <c r="F364" s="115">
        <f t="shared" si="120"/>
        <v>0</v>
      </c>
      <c r="G364" s="115">
        <f t="shared" si="120"/>
        <v>0</v>
      </c>
      <c r="H364" s="115">
        <f t="shared" si="120"/>
        <v>0</v>
      </c>
      <c r="I364" s="115">
        <f t="shared" si="120"/>
        <v>0</v>
      </c>
      <c r="J364" s="16"/>
      <c r="K364" s="16"/>
      <c r="L364" s="115"/>
    </row>
    <row r="365" spans="1:12" s="8" customFormat="1" ht="15" customHeight="1" hidden="1">
      <c r="A365" s="103"/>
      <c r="B365" s="10" t="s">
        <v>600</v>
      </c>
      <c r="C365" s="186"/>
      <c r="D365" s="117">
        <v>1500</v>
      </c>
      <c r="E365" s="117">
        <v>1500</v>
      </c>
      <c r="F365" s="117"/>
      <c r="G365" s="117"/>
      <c r="H365" s="117"/>
      <c r="I365" s="117"/>
      <c r="J365" s="22"/>
      <c r="K365" s="22"/>
      <c r="L365" s="117"/>
    </row>
    <row r="366" spans="1:12" s="8" customFormat="1" ht="15" customHeight="1" hidden="1">
      <c r="A366" s="103"/>
      <c r="B366" s="10"/>
      <c r="C366" s="186"/>
      <c r="D366" s="117"/>
      <c r="E366" s="117"/>
      <c r="F366" s="117"/>
      <c r="G366" s="117"/>
      <c r="H366" s="117"/>
      <c r="I366" s="117"/>
      <c r="J366" s="22"/>
      <c r="K366" s="22"/>
      <c r="L366" s="117"/>
    </row>
    <row r="367" spans="1:12" s="8" customFormat="1" ht="114.75" customHeight="1" hidden="1">
      <c r="A367" s="103"/>
      <c r="B367" s="46" t="s">
        <v>42</v>
      </c>
      <c r="C367" s="195" t="s">
        <v>485</v>
      </c>
      <c r="D367" s="115">
        <f aca="true" t="shared" si="121" ref="D367:I367">SUM(D368:D369)</f>
        <v>3750</v>
      </c>
      <c r="E367" s="115">
        <f t="shared" si="121"/>
        <v>3750</v>
      </c>
      <c r="F367" s="115">
        <f t="shared" si="121"/>
        <v>0</v>
      </c>
      <c r="G367" s="115">
        <f t="shared" si="121"/>
        <v>0</v>
      </c>
      <c r="H367" s="115">
        <f t="shared" si="121"/>
        <v>0</v>
      </c>
      <c r="I367" s="115">
        <f t="shared" si="121"/>
        <v>0</v>
      </c>
      <c r="J367" s="16"/>
      <c r="K367" s="16"/>
      <c r="L367" s="115"/>
    </row>
    <row r="368" spans="1:12" s="8" customFormat="1" ht="15.75" hidden="1">
      <c r="A368" s="103"/>
      <c r="B368" s="10" t="s">
        <v>600</v>
      </c>
      <c r="C368" s="186"/>
      <c r="D368" s="117">
        <v>3000</v>
      </c>
      <c r="E368" s="117">
        <v>3000</v>
      </c>
      <c r="F368" s="116">
        <f>E368-D368</f>
        <v>0</v>
      </c>
      <c r="G368" s="117"/>
      <c r="H368" s="117"/>
      <c r="I368" s="117"/>
      <c r="J368" s="22"/>
      <c r="K368" s="22"/>
      <c r="L368" s="117"/>
    </row>
    <row r="369" spans="1:12" s="8" customFormat="1" ht="15" customHeight="1" hidden="1">
      <c r="A369" s="103"/>
      <c r="B369" s="10" t="s">
        <v>602</v>
      </c>
      <c r="C369" s="186"/>
      <c r="D369" s="117">
        <f>750</f>
        <v>750</v>
      </c>
      <c r="E369" s="117">
        <f>750</f>
        <v>750</v>
      </c>
      <c r="F369" s="116">
        <f>E369-D369</f>
        <v>0</v>
      </c>
      <c r="G369" s="117"/>
      <c r="H369" s="117"/>
      <c r="I369" s="117"/>
      <c r="J369" s="22"/>
      <c r="K369" s="22"/>
      <c r="L369" s="117"/>
    </row>
    <row r="370" spans="1:12" s="8" customFormat="1" ht="15" customHeight="1" hidden="1">
      <c r="A370" s="103"/>
      <c r="B370" s="12"/>
      <c r="C370" s="186"/>
      <c r="D370" s="116"/>
      <c r="E370" s="116"/>
      <c r="F370" s="116"/>
      <c r="G370" s="116"/>
      <c r="H370" s="116"/>
      <c r="I370" s="116"/>
      <c r="J370" s="15"/>
      <c r="K370" s="15"/>
      <c r="L370" s="116"/>
    </row>
    <row r="371" spans="1:12" s="8" customFormat="1" ht="15" customHeight="1">
      <c r="A371" s="173"/>
      <c r="B371" s="224" t="s">
        <v>2</v>
      </c>
      <c r="C371" s="225"/>
      <c r="D371" s="225"/>
      <c r="E371" s="225"/>
      <c r="F371" s="225"/>
      <c r="G371" s="225"/>
      <c r="H371" s="225"/>
      <c r="I371" s="225"/>
      <c r="J371" s="225"/>
      <c r="K371" s="225"/>
      <c r="L371" s="225"/>
    </row>
    <row r="372" spans="1:12" s="8" customFormat="1" ht="31.5">
      <c r="A372" s="103" t="s">
        <v>552</v>
      </c>
      <c r="B372" s="43" t="s">
        <v>3</v>
      </c>
      <c r="C372" s="186"/>
      <c r="D372" s="115">
        <f aca="true" t="shared" si="122" ref="D372:I372">SUM(D373:D373)</f>
        <v>221019.73200000002</v>
      </c>
      <c r="E372" s="115">
        <f t="shared" si="122"/>
        <v>220469.73200000002</v>
      </c>
      <c r="F372" s="115">
        <f t="shared" si="122"/>
        <v>-550</v>
      </c>
      <c r="G372" s="115">
        <f t="shared" si="122"/>
        <v>34452.5</v>
      </c>
      <c r="H372" s="115">
        <f t="shared" si="122"/>
        <v>33902.5</v>
      </c>
      <c r="I372" s="115">
        <f t="shared" si="122"/>
        <v>-550</v>
      </c>
      <c r="J372" s="16"/>
      <c r="K372" s="16"/>
      <c r="L372" s="115"/>
    </row>
    <row r="373" spans="1:12" s="8" customFormat="1" ht="15" customHeight="1">
      <c r="A373" s="103" t="s">
        <v>553</v>
      </c>
      <c r="B373" s="10" t="s">
        <v>600</v>
      </c>
      <c r="C373" s="182"/>
      <c r="D373" s="116">
        <f aca="true" t="shared" si="123" ref="D373:I373">SUM(D376+D379+D394+D397+D400)</f>
        <v>221019.73200000002</v>
      </c>
      <c r="E373" s="116">
        <f t="shared" si="123"/>
        <v>220469.73200000002</v>
      </c>
      <c r="F373" s="116">
        <f t="shared" si="123"/>
        <v>-550</v>
      </c>
      <c r="G373" s="116">
        <f t="shared" si="123"/>
        <v>34452.5</v>
      </c>
      <c r="H373" s="116">
        <f t="shared" si="123"/>
        <v>33902.5</v>
      </c>
      <c r="I373" s="116">
        <f t="shared" si="123"/>
        <v>-550</v>
      </c>
      <c r="J373" s="15"/>
      <c r="K373" s="15"/>
      <c r="L373" s="116"/>
    </row>
    <row r="374" spans="1:12" s="8" customFormat="1" ht="15" customHeight="1">
      <c r="A374" s="103"/>
      <c r="B374" s="12"/>
      <c r="C374" s="186"/>
      <c r="D374" s="116"/>
      <c r="E374" s="116"/>
      <c r="F374" s="116"/>
      <c r="G374" s="116"/>
      <c r="H374" s="116"/>
      <c r="I374" s="116"/>
      <c r="J374" s="15"/>
      <c r="K374" s="15"/>
      <c r="L374" s="116"/>
    </row>
    <row r="375" spans="1:12" s="8" customFormat="1" ht="148.5" customHeight="1" hidden="1">
      <c r="A375" s="103"/>
      <c r="B375" s="43" t="s">
        <v>30</v>
      </c>
      <c r="C375" s="195" t="s">
        <v>486</v>
      </c>
      <c r="D375" s="115">
        <f aca="true" t="shared" si="124" ref="D375:I375">SUM(D376)</f>
        <v>26512</v>
      </c>
      <c r="E375" s="115">
        <f t="shared" si="124"/>
        <v>26512</v>
      </c>
      <c r="F375" s="115">
        <f t="shared" si="124"/>
        <v>0</v>
      </c>
      <c r="G375" s="115">
        <f t="shared" si="124"/>
        <v>3681</v>
      </c>
      <c r="H375" s="115">
        <f t="shared" si="124"/>
        <v>3681</v>
      </c>
      <c r="I375" s="115">
        <f t="shared" si="124"/>
        <v>0</v>
      </c>
      <c r="J375" s="16"/>
      <c r="K375" s="16"/>
      <c r="L375" s="115"/>
    </row>
    <row r="376" spans="1:12" s="8" customFormat="1" ht="15" customHeight="1" hidden="1">
      <c r="A376" s="103"/>
      <c r="B376" s="10" t="s">
        <v>600</v>
      </c>
      <c r="C376" s="186"/>
      <c r="D376" s="116">
        <v>26512</v>
      </c>
      <c r="E376" s="116">
        <v>26512</v>
      </c>
      <c r="F376" s="116">
        <f>E376-D376</f>
        <v>0</v>
      </c>
      <c r="G376" s="116">
        <v>3681</v>
      </c>
      <c r="H376" s="116">
        <v>3681</v>
      </c>
      <c r="I376" s="116">
        <f>H376-G376</f>
        <v>0</v>
      </c>
      <c r="J376" s="15"/>
      <c r="K376" s="15"/>
      <c r="L376" s="116"/>
    </row>
    <row r="377" spans="1:12" s="8" customFormat="1" ht="15" customHeight="1" hidden="1">
      <c r="A377" s="103"/>
      <c r="B377" s="10"/>
      <c r="C377" s="186"/>
      <c r="D377" s="116"/>
      <c r="E377" s="116"/>
      <c r="F377" s="116"/>
      <c r="G377" s="116"/>
      <c r="H377" s="116"/>
      <c r="I377" s="116"/>
      <c r="J377" s="15"/>
      <c r="K377" s="15"/>
      <c r="L377" s="116"/>
    </row>
    <row r="378" spans="1:12" s="8" customFormat="1" ht="130.5" customHeight="1">
      <c r="A378" s="103" t="s">
        <v>554</v>
      </c>
      <c r="B378" s="43" t="s">
        <v>298</v>
      </c>
      <c r="C378" s="195" t="s">
        <v>487</v>
      </c>
      <c r="D378" s="115">
        <f aca="true" t="shared" si="125" ref="D378:I378">SUM(D379)</f>
        <v>189193.869</v>
      </c>
      <c r="E378" s="115">
        <f t="shared" si="125"/>
        <v>188643.869</v>
      </c>
      <c r="F378" s="115">
        <f t="shared" si="125"/>
        <v>-550</v>
      </c>
      <c r="G378" s="114">
        <f t="shared" si="125"/>
        <v>30441.5</v>
      </c>
      <c r="H378" s="114">
        <f t="shared" si="125"/>
        <v>29891.5</v>
      </c>
      <c r="I378" s="114">
        <f t="shared" si="125"/>
        <v>-550</v>
      </c>
      <c r="J378" s="214" t="s">
        <v>526</v>
      </c>
      <c r="K378" s="214" t="s">
        <v>526</v>
      </c>
      <c r="L378" s="214" t="s">
        <v>527</v>
      </c>
    </row>
    <row r="379" spans="1:12" s="8" customFormat="1" ht="15" customHeight="1">
      <c r="A379" s="103" t="s">
        <v>555</v>
      </c>
      <c r="B379" s="10" t="s">
        <v>600</v>
      </c>
      <c r="C379" s="186"/>
      <c r="D379" s="115">
        <f aca="true" t="shared" si="126" ref="D379:I379">SUM(D382+D385+D388+D391)</f>
        <v>189193.869</v>
      </c>
      <c r="E379" s="115">
        <f t="shared" si="126"/>
        <v>188643.869</v>
      </c>
      <c r="F379" s="115">
        <f t="shared" si="126"/>
        <v>-550</v>
      </c>
      <c r="G379" s="115">
        <f t="shared" si="126"/>
        <v>30441.5</v>
      </c>
      <c r="H379" s="115">
        <f t="shared" si="126"/>
        <v>29891.5</v>
      </c>
      <c r="I379" s="115">
        <f t="shared" si="126"/>
        <v>-550</v>
      </c>
      <c r="J379" s="16"/>
      <c r="K379" s="16"/>
      <c r="L379" s="115"/>
    </row>
    <row r="380" spans="1:12" s="8" customFormat="1" ht="15" customHeight="1">
      <c r="A380" s="103"/>
      <c r="B380" s="10"/>
      <c r="C380" s="186"/>
      <c r="D380" s="116"/>
      <c r="E380" s="116"/>
      <c r="F380" s="116"/>
      <c r="G380" s="116"/>
      <c r="H380" s="116"/>
      <c r="I380" s="116"/>
      <c r="J380" s="15"/>
      <c r="K380" s="15"/>
      <c r="L380" s="116"/>
    </row>
    <row r="381" spans="1:12" s="8" customFormat="1" ht="51" customHeight="1">
      <c r="A381" s="103" t="s">
        <v>556</v>
      </c>
      <c r="B381" s="10" t="s">
        <v>299</v>
      </c>
      <c r="C381" s="186"/>
      <c r="D381" s="166">
        <f aca="true" t="shared" si="127" ref="D381:I381">SUM(D382)</f>
        <v>15942.73</v>
      </c>
      <c r="E381" s="166">
        <f t="shared" si="127"/>
        <v>15392.73</v>
      </c>
      <c r="F381" s="166">
        <f t="shared" si="127"/>
        <v>-550</v>
      </c>
      <c r="G381" s="166">
        <f t="shared" si="127"/>
        <v>2605</v>
      </c>
      <c r="H381" s="166">
        <f t="shared" si="127"/>
        <v>2055</v>
      </c>
      <c r="I381" s="166">
        <f t="shared" si="127"/>
        <v>-550</v>
      </c>
      <c r="J381" s="123"/>
      <c r="K381" s="123"/>
      <c r="L381" s="166"/>
    </row>
    <row r="382" spans="1:12" s="8" customFormat="1" ht="15" customHeight="1">
      <c r="A382" s="103" t="s">
        <v>557</v>
      </c>
      <c r="B382" s="10" t="s">
        <v>600</v>
      </c>
      <c r="C382" s="186"/>
      <c r="D382" s="166">
        <v>15942.73</v>
      </c>
      <c r="E382" s="166">
        <f>15942.73-550</f>
        <v>15392.73</v>
      </c>
      <c r="F382" s="116">
        <f>E382-D382</f>
        <v>-550</v>
      </c>
      <c r="G382" s="166">
        <v>2605</v>
      </c>
      <c r="H382" s="166">
        <v>2055</v>
      </c>
      <c r="I382" s="116">
        <f>H382-G382</f>
        <v>-550</v>
      </c>
      <c r="J382" s="123"/>
      <c r="K382" s="123"/>
      <c r="L382" s="116"/>
    </row>
    <row r="383" spans="1:12" s="8" customFormat="1" ht="15" customHeight="1" hidden="1">
      <c r="A383" s="103"/>
      <c r="B383" s="10"/>
      <c r="C383" s="186"/>
      <c r="D383" s="166"/>
      <c r="E383" s="166"/>
      <c r="F383" s="166"/>
      <c r="G383" s="166"/>
      <c r="H383" s="166"/>
      <c r="I383" s="166"/>
      <c r="J383" s="123"/>
      <c r="K383" s="123"/>
      <c r="L383" s="166"/>
    </row>
    <row r="384" spans="1:12" s="8" customFormat="1" ht="50.25" customHeight="1" hidden="1">
      <c r="A384" s="103"/>
      <c r="B384" s="10" t="s">
        <v>300</v>
      </c>
      <c r="C384" s="186"/>
      <c r="D384" s="166">
        <f aca="true" t="shared" si="128" ref="D384:I384">SUM(D385)</f>
        <v>220</v>
      </c>
      <c r="E384" s="166">
        <f t="shared" si="128"/>
        <v>220</v>
      </c>
      <c r="F384" s="166">
        <f t="shared" si="128"/>
        <v>0</v>
      </c>
      <c r="G384" s="166">
        <f t="shared" si="128"/>
        <v>0</v>
      </c>
      <c r="H384" s="166">
        <f t="shared" si="128"/>
        <v>0</v>
      </c>
      <c r="I384" s="166">
        <f t="shared" si="128"/>
        <v>0</v>
      </c>
      <c r="J384" s="123"/>
      <c r="K384" s="123"/>
      <c r="L384" s="166"/>
    </row>
    <row r="385" spans="1:12" s="8" customFormat="1" ht="15" customHeight="1" hidden="1">
      <c r="A385" s="103"/>
      <c r="B385" s="10" t="s">
        <v>600</v>
      </c>
      <c r="C385" s="186"/>
      <c r="D385" s="166">
        <v>220</v>
      </c>
      <c r="E385" s="166">
        <v>220</v>
      </c>
      <c r="F385" s="116">
        <f>E385-D385</f>
        <v>0</v>
      </c>
      <c r="G385" s="166">
        <v>0</v>
      </c>
      <c r="H385" s="166">
        <v>0</v>
      </c>
      <c r="I385" s="116">
        <f>H385-G385</f>
        <v>0</v>
      </c>
      <c r="J385" s="123"/>
      <c r="K385" s="123"/>
      <c r="L385" s="116"/>
    </row>
    <row r="386" spans="1:12" s="8" customFormat="1" ht="15" customHeight="1" hidden="1">
      <c r="A386" s="103"/>
      <c r="B386" s="10"/>
      <c r="C386" s="186"/>
      <c r="D386" s="166"/>
      <c r="E386" s="166"/>
      <c r="F386" s="166"/>
      <c r="G386" s="166"/>
      <c r="H386" s="166"/>
      <c r="I386" s="166"/>
      <c r="J386" s="123"/>
      <c r="K386" s="123"/>
      <c r="L386" s="166"/>
    </row>
    <row r="387" spans="1:12" s="8" customFormat="1" ht="53.25" customHeight="1" hidden="1">
      <c r="A387" s="103"/>
      <c r="B387" s="10" t="s">
        <v>301</v>
      </c>
      <c r="C387" s="186"/>
      <c r="D387" s="166">
        <f aca="true" t="shared" si="129" ref="D387:I387">SUM(D388)</f>
        <v>97287.526</v>
      </c>
      <c r="E387" s="166">
        <f t="shared" si="129"/>
        <v>97287.526</v>
      </c>
      <c r="F387" s="166">
        <f t="shared" si="129"/>
        <v>0</v>
      </c>
      <c r="G387" s="166">
        <f t="shared" si="129"/>
        <v>13908.9</v>
      </c>
      <c r="H387" s="166">
        <f t="shared" si="129"/>
        <v>13908.9</v>
      </c>
      <c r="I387" s="166">
        <f t="shared" si="129"/>
        <v>0</v>
      </c>
      <c r="J387" s="123"/>
      <c r="K387" s="123"/>
      <c r="L387" s="166"/>
    </row>
    <row r="388" spans="1:12" s="8" customFormat="1" ht="15" customHeight="1" hidden="1">
      <c r="A388" s="103"/>
      <c r="B388" s="10" t="s">
        <v>600</v>
      </c>
      <c r="C388" s="186"/>
      <c r="D388" s="166">
        <f>97117.526+170</f>
        <v>97287.526</v>
      </c>
      <c r="E388" s="166">
        <f>97117.526+170</f>
        <v>97287.526</v>
      </c>
      <c r="F388" s="116">
        <f>E388-D388</f>
        <v>0</v>
      </c>
      <c r="G388" s="166">
        <v>13908.9</v>
      </c>
      <c r="H388" s="166">
        <f>13738.9+170</f>
        <v>13908.9</v>
      </c>
      <c r="I388" s="116">
        <f>H388-G388</f>
        <v>0</v>
      </c>
      <c r="J388" s="123"/>
      <c r="K388" s="123"/>
      <c r="L388" s="116"/>
    </row>
    <row r="389" spans="1:12" s="8" customFormat="1" ht="15" customHeight="1" hidden="1">
      <c r="A389" s="103"/>
      <c r="B389" s="10"/>
      <c r="C389" s="186"/>
      <c r="D389" s="166"/>
      <c r="E389" s="166"/>
      <c r="F389" s="166"/>
      <c r="G389" s="166"/>
      <c r="H389" s="166"/>
      <c r="I389" s="166"/>
      <c r="J389" s="123"/>
      <c r="K389" s="123"/>
      <c r="L389" s="166"/>
    </row>
    <row r="390" spans="1:12" s="8" customFormat="1" ht="72.75" customHeight="1" hidden="1">
      <c r="A390" s="103"/>
      <c r="B390" s="10" t="s">
        <v>302</v>
      </c>
      <c r="C390" s="186"/>
      <c r="D390" s="166">
        <f aca="true" t="shared" si="130" ref="D390:I390">SUM(D391)</f>
        <v>75743.613</v>
      </c>
      <c r="E390" s="166">
        <f t="shared" si="130"/>
        <v>75743.613</v>
      </c>
      <c r="F390" s="166">
        <f t="shared" si="130"/>
        <v>0</v>
      </c>
      <c r="G390" s="166">
        <f t="shared" si="130"/>
        <v>13927.6</v>
      </c>
      <c r="H390" s="166">
        <f t="shared" si="130"/>
        <v>13927.6</v>
      </c>
      <c r="I390" s="166">
        <f t="shared" si="130"/>
        <v>0</v>
      </c>
      <c r="J390" s="123"/>
      <c r="K390" s="123"/>
      <c r="L390" s="166"/>
    </row>
    <row r="391" spans="1:12" s="8" customFormat="1" ht="15" customHeight="1" hidden="1">
      <c r="A391" s="103"/>
      <c r="B391" s="10" t="s">
        <v>600</v>
      </c>
      <c r="C391" s="186"/>
      <c r="D391" s="166">
        <v>75743.613</v>
      </c>
      <c r="E391" s="166">
        <v>75743.613</v>
      </c>
      <c r="F391" s="116">
        <f>E391-D391</f>
        <v>0</v>
      </c>
      <c r="G391" s="166">
        <v>13927.6</v>
      </c>
      <c r="H391" s="124">
        <v>13927.6</v>
      </c>
      <c r="I391" s="116">
        <f>H391-G391</f>
        <v>0</v>
      </c>
      <c r="J391" s="123"/>
      <c r="K391" s="123"/>
      <c r="L391" s="116"/>
    </row>
    <row r="392" spans="1:12" s="8" customFormat="1" ht="15" customHeight="1" hidden="1">
      <c r="A392" s="103"/>
      <c r="B392" s="10"/>
      <c r="C392" s="186"/>
      <c r="D392" s="116"/>
      <c r="E392" s="116"/>
      <c r="F392" s="116"/>
      <c r="G392" s="116"/>
      <c r="H392" s="116"/>
      <c r="I392" s="116"/>
      <c r="J392" s="15"/>
      <c r="K392" s="15"/>
      <c r="L392" s="116"/>
    </row>
    <row r="393" spans="1:12" s="8" customFormat="1" ht="104.25" customHeight="1" hidden="1">
      <c r="A393" s="103"/>
      <c r="B393" s="43" t="s">
        <v>303</v>
      </c>
      <c r="C393" s="195" t="s">
        <v>480</v>
      </c>
      <c r="D393" s="115">
        <f aca="true" t="shared" si="131" ref="D393:I393">SUM(D394)</f>
        <v>2130</v>
      </c>
      <c r="E393" s="115">
        <f t="shared" si="131"/>
        <v>2130</v>
      </c>
      <c r="F393" s="115">
        <f t="shared" si="131"/>
        <v>0</v>
      </c>
      <c r="G393" s="115">
        <f t="shared" si="131"/>
        <v>330</v>
      </c>
      <c r="H393" s="115">
        <f t="shared" si="131"/>
        <v>330</v>
      </c>
      <c r="I393" s="115">
        <f t="shared" si="131"/>
        <v>0</v>
      </c>
      <c r="J393" s="16"/>
      <c r="K393" s="16"/>
      <c r="L393" s="115"/>
    </row>
    <row r="394" spans="1:12" s="8" customFormat="1" ht="15" customHeight="1" hidden="1">
      <c r="A394" s="103"/>
      <c r="B394" s="10" t="s">
        <v>600</v>
      </c>
      <c r="C394" s="186"/>
      <c r="D394" s="111">
        <v>2130</v>
      </c>
      <c r="E394" s="111">
        <v>2130</v>
      </c>
      <c r="F394" s="116">
        <f>E394-D394</f>
        <v>0</v>
      </c>
      <c r="G394" s="111">
        <f>30+300</f>
        <v>330</v>
      </c>
      <c r="H394" s="111">
        <f>30+300</f>
        <v>330</v>
      </c>
      <c r="I394" s="116">
        <f>H394-G394</f>
        <v>0</v>
      </c>
      <c r="J394" s="52"/>
      <c r="K394" s="52"/>
      <c r="L394" s="116"/>
    </row>
    <row r="395" spans="1:12" s="8" customFormat="1" ht="15" customHeight="1" hidden="1">
      <c r="A395" s="103"/>
      <c r="B395" s="10"/>
      <c r="C395" s="186"/>
      <c r="D395" s="116"/>
      <c r="E395" s="116"/>
      <c r="F395" s="116"/>
      <c r="G395" s="116"/>
      <c r="H395" s="116"/>
      <c r="I395" s="116"/>
      <c r="J395" s="15"/>
      <c r="K395" s="15"/>
      <c r="L395" s="116"/>
    </row>
    <row r="396" spans="1:12" s="8" customFormat="1" ht="117" customHeight="1" hidden="1">
      <c r="A396" s="103"/>
      <c r="B396" s="43" t="s">
        <v>306</v>
      </c>
      <c r="C396" s="195" t="s">
        <v>488</v>
      </c>
      <c r="D396" s="115">
        <f aca="true" t="shared" si="132" ref="D396:I396">SUM(D397)</f>
        <v>473.863</v>
      </c>
      <c r="E396" s="115">
        <f t="shared" si="132"/>
        <v>473.863</v>
      </c>
      <c r="F396" s="115">
        <f t="shared" si="132"/>
        <v>0</v>
      </c>
      <c r="G396" s="115">
        <f t="shared" si="132"/>
        <v>0</v>
      </c>
      <c r="H396" s="115">
        <f t="shared" si="132"/>
        <v>0</v>
      </c>
      <c r="I396" s="115">
        <f t="shared" si="132"/>
        <v>0</v>
      </c>
      <c r="J396" s="16"/>
      <c r="K396" s="16"/>
      <c r="L396" s="115"/>
    </row>
    <row r="397" spans="1:12" s="8" customFormat="1" ht="15" customHeight="1" hidden="1">
      <c r="A397" s="103"/>
      <c r="B397" s="10" t="s">
        <v>600</v>
      </c>
      <c r="C397" s="186"/>
      <c r="D397" s="116">
        <v>473.863</v>
      </c>
      <c r="E397" s="116">
        <v>473.863</v>
      </c>
      <c r="F397" s="116">
        <f>E397-D397</f>
        <v>0</v>
      </c>
      <c r="G397" s="116">
        <v>0</v>
      </c>
      <c r="H397" s="116">
        <v>0</v>
      </c>
      <c r="I397" s="116">
        <f>H397-G397</f>
        <v>0</v>
      </c>
      <c r="J397" s="15"/>
      <c r="K397" s="15"/>
      <c r="L397" s="116"/>
    </row>
    <row r="398" spans="1:12" s="8" customFormat="1" ht="15" customHeight="1" hidden="1">
      <c r="A398" s="103"/>
      <c r="B398" s="10"/>
      <c r="C398" s="186"/>
      <c r="D398" s="116"/>
      <c r="E398" s="116"/>
      <c r="F398" s="116"/>
      <c r="G398" s="116"/>
      <c r="H398" s="116"/>
      <c r="I398" s="116"/>
      <c r="J398" s="15"/>
      <c r="K398" s="15"/>
      <c r="L398" s="116"/>
    </row>
    <row r="399" spans="1:12" s="8" customFormat="1" ht="52.5" customHeight="1" hidden="1">
      <c r="A399" s="103"/>
      <c r="B399" s="43" t="s">
        <v>307</v>
      </c>
      <c r="C399" s="195" t="s">
        <v>489</v>
      </c>
      <c r="D399" s="114">
        <f aca="true" t="shared" si="133" ref="D399:I399">SUM(D400)</f>
        <v>2710</v>
      </c>
      <c r="E399" s="114">
        <f t="shared" si="133"/>
        <v>2710</v>
      </c>
      <c r="F399" s="114">
        <f t="shared" si="133"/>
        <v>0</v>
      </c>
      <c r="G399" s="114">
        <f t="shared" si="133"/>
        <v>0</v>
      </c>
      <c r="H399" s="114">
        <f t="shared" si="133"/>
        <v>0</v>
      </c>
      <c r="I399" s="114">
        <f t="shared" si="133"/>
        <v>0</v>
      </c>
      <c r="J399" s="35"/>
      <c r="K399" s="35"/>
      <c r="L399" s="114"/>
    </row>
    <row r="400" spans="1:12" s="8" customFormat="1" ht="15.75" customHeight="1" hidden="1">
      <c r="A400" s="102"/>
      <c r="B400" s="10" t="s">
        <v>600</v>
      </c>
      <c r="C400" s="186"/>
      <c r="D400" s="111">
        <v>2710</v>
      </c>
      <c r="E400" s="111">
        <v>2710</v>
      </c>
      <c r="F400" s="116">
        <f>E400-D400</f>
        <v>0</v>
      </c>
      <c r="G400" s="111">
        <v>0</v>
      </c>
      <c r="H400" s="111">
        <v>0</v>
      </c>
      <c r="I400" s="116">
        <f>H400-G400</f>
        <v>0</v>
      </c>
      <c r="J400" s="52"/>
      <c r="K400" s="52"/>
      <c r="L400" s="116"/>
    </row>
    <row r="401" spans="1:12" s="8" customFormat="1" ht="15.75" customHeight="1">
      <c r="A401" s="102"/>
      <c r="B401" s="10"/>
      <c r="C401" s="186"/>
      <c r="D401" s="111"/>
      <c r="E401" s="111"/>
      <c r="F401" s="111"/>
      <c r="G401" s="111"/>
      <c r="H401" s="111"/>
      <c r="I401" s="111"/>
      <c r="J401" s="52"/>
      <c r="K401" s="52"/>
      <c r="L401" s="111"/>
    </row>
    <row r="402" spans="1:12" s="7" customFormat="1" ht="15" customHeight="1">
      <c r="A402" s="172"/>
      <c r="B402" s="230" t="s">
        <v>60</v>
      </c>
      <c r="C402" s="231"/>
      <c r="D402" s="231"/>
      <c r="E402" s="231"/>
      <c r="F402" s="231"/>
      <c r="G402" s="231"/>
      <c r="H402" s="231"/>
      <c r="I402" s="231"/>
      <c r="J402" s="231"/>
      <c r="K402" s="231"/>
      <c r="L402" s="231"/>
    </row>
    <row r="403" spans="1:12" s="8" customFormat="1" ht="15.75">
      <c r="A403" s="103" t="s">
        <v>558</v>
      </c>
      <c r="B403" s="43" t="s">
        <v>61</v>
      </c>
      <c r="C403" s="186"/>
      <c r="D403" s="115">
        <f aca="true" t="shared" si="134" ref="D403:I403">SUM(D404:D407)</f>
        <v>161029</v>
      </c>
      <c r="E403" s="115">
        <f t="shared" si="134"/>
        <v>160929</v>
      </c>
      <c r="F403" s="115">
        <f t="shared" si="134"/>
        <v>-100</v>
      </c>
      <c r="G403" s="115">
        <f t="shared" si="134"/>
        <v>30867</v>
      </c>
      <c r="H403" s="115">
        <f t="shared" si="134"/>
        <v>30767</v>
      </c>
      <c r="I403" s="115">
        <f t="shared" si="134"/>
        <v>-100</v>
      </c>
      <c r="J403" s="16"/>
      <c r="K403" s="16"/>
      <c r="L403" s="115"/>
    </row>
    <row r="404" spans="1:12" s="8" customFormat="1" ht="15" customHeight="1">
      <c r="A404" s="103" t="s">
        <v>559</v>
      </c>
      <c r="B404" s="10" t="s">
        <v>600</v>
      </c>
      <c r="C404" s="186"/>
      <c r="D404" s="117">
        <f aca="true" t="shared" si="135" ref="D404:I404">SUM(D410+D416)</f>
        <v>1560</v>
      </c>
      <c r="E404" s="117">
        <f t="shared" si="135"/>
        <v>1460</v>
      </c>
      <c r="F404" s="95">
        <f t="shared" si="135"/>
        <v>-100</v>
      </c>
      <c r="G404" s="117">
        <f t="shared" si="135"/>
        <v>100</v>
      </c>
      <c r="H404" s="95">
        <f t="shared" si="135"/>
        <v>0</v>
      </c>
      <c r="I404" s="95">
        <f t="shared" si="135"/>
        <v>-100</v>
      </c>
      <c r="J404" s="22"/>
      <c r="K404" s="22"/>
      <c r="L404" s="95"/>
    </row>
    <row r="405" spans="1:12" s="8" customFormat="1" ht="15" customHeight="1">
      <c r="A405" s="103" t="s">
        <v>560</v>
      </c>
      <c r="B405" s="10" t="s">
        <v>601</v>
      </c>
      <c r="C405" s="186"/>
      <c r="D405" s="117"/>
      <c r="E405" s="117"/>
      <c r="F405" s="117"/>
      <c r="G405" s="117"/>
      <c r="H405" s="117"/>
      <c r="I405" s="117"/>
      <c r="J405" s="22"/>
      <c r="K405" s="22"/>
      <c r="L405" s="117"/>
    </row>
    <row r="406" spans="1:12" s="8" customFormat="1" ht="15" customHeight="1">
      <c r="A406" s="103" t="s">
        <v>561</v>
      </c>
      <c r="B406" s="10" t="s">
        <v>602</v>
      </c>
      <c r="C406" s="186"/>
      <c r="D406" s="117">
        <f aca="true" t="shared" si="136" ref="D406:I406">SUM(D418)</f>
        <v>159469</v>
      </c>
      <c r="E406" s="117">
        <f t="shared" si="136"/>
        <v>159469</v>
      </c>
      <c r="F406" s="117">
        <f t="shared" si="136"/>
        <v>0</v>
      </c>
      <c r="G406" s="117">
        <f t="shared" si="136"/>
        <v>30767</v>
      </c>
      <c r="H406" s="117">
        <f t="shared" si="136"/>
        <v>30767</v>
      </c>
      <c r="I406" s="117">
        <f t="shared" si="136"/>
        <v>0</v>
      </c>
      <c r="J406" s="22"/>
      <c r="K406" s="22"/>
      <c r="L406" s="117"/>
    </row>
    <row r="407" spans="1:12" s="8" customFormat="1" ht="15" customHeight="1">
      <c r="A407" s="103" t="s">
        <v>562</v>
      </c>
      <c r="B407" s="10" t="s">
        <v>603</v>
      </c>
      <c r="C407" s="186"/>
      <c r="D407" s="117"/>
      <c r="E407" s="117"/>
      <c r="F407" s="117"/>
      <c r="G407" s="117"/>
      <c r="H407" s="117"/>
      <c r="I407" s="117"/>
      <c r="J407" s="22"/>
      <c r="K407" s="22"/>
      <c r="L407" s="117"/>
    </row>
    <row r="408" spans="1:12" s="8" customFormat="1" ht="15" customHeight="1" hidden="1">
      <c r="A408" s="173"/>
      <c r="B408" s="224" t="s">
        <v>604</v>
      </c>
      <c r="C408" s="225"/>
      <c r="D408" s="225"/>
      <c r="E408" s="225"/>
      <c r="F408" s="225"/>
      <c r="G408" s="225"/>
      <c r="H408" s="225"/>
      <c r="I408" s="225"/>
      <c r="J408" s="225"/>
      <c r="K408" s="225"/>
      <c r="L408" s="225"/>
    </row>
    <row r="409" spans="1:12" s="8" customFormat="1" ht="35.25" customHeight="1" hidden="1">
      <c r="A409" s="103"/>
      <c r="B409" s="43" t="s">
        <v>21</v>
      </c>
      <c r="C409" s="186"/>
      <c r="D409" s="115"/>
      <c r="E409" s="115"/>
      <c r="F409" s="115"/>
      <c r="G409" s="115"/>
      <c r="H409" s="115"/>
      <c r="I409" s="115"/>
      <c r="J409" s="16"/>
      <c r="K409" s="16"/>
      <c r="L409" s="115"/>
    </row>
    <row r="410" spans="1:12" s="8" customFormat="1" ht="15" customHeight="1" hidden="1">
      <c r="A410" s="103"/>
      <c r="B410" s="10" t="s">
        <v>600</v>
      </c>
      <c r="C410" s="186"/>
      <c r="D410" s="117"/>
      <c r="E410" s="117"/>
      <c r="F410" s="117"/>
      <c r="G410" s="117"/>
      <c r="H410" s="117"/>
      <c r="I410" s="117"/>
      <c r="J410" s="22"/>
      <c r="K410" s="22"/>
      <c r="L410" s="117"/>
    </row>
    <row r="411" spans="1:12" s="8" customFormat="1" ht="15" customHeight="1" hidden="1">
      <c r="A411" s="176"/>
      <c r="B411" s="227" t="s">
        <v>605</v>
      </c>
      <c r="C411" s="228"/>
      <c r="D411" s="228"/>
      <c r="E411" s="228"/>
      <c r="F411" s="228"/>
      <c r="G411" s="228"/>
      <c r="H411" s="228"/>
      <c r="I411" s="228"/>
      <c r="J411" s="228"/>
      <c r="K411" s="228"/>
      <c r="L411" s="228"/>
    </row>
    <row r="412" spans="1:12" s="8" customFormat="1" ht="48.75" customHeight="1" hidden="1">
      <c r="A412" s="103"/>
      <c r="B412" s="43" t="s">
        <v>279</v>
      </c>
      <c r="C412" s="186"/>
      <c r="D412" s="115"/>
      <c r="E412" s="115"/>
      <c r="F412" s="115"/>
      <c r="G412" s="115"/>
      <c r="H412" s="115"/>
      <c r="I412" s="115"/>
      <c r="J412" s="16"/>
      <c r="K412" s="16"/>
      <c r="L412" s="115"/>
    </row>
    <row r="413" spans="1:12" s="8" customFormat="1" ht="15" customHeight="1" hidden="1">
      <c r="A413" s="103"/>
      <c r="B413" s="10" t="s">
        <v>600</v>
      </c>
      <c r="C413" s="186"/>
      <c r="D413" s="117"/>
      <c r="E413" s="117"/>
      <c r="F413" s="117"/>
      <c r="G413" s="117"/>
      <c r="H413" s="117"/>
      <c r="I413" s="117"/>
      <c r="J413" s="22"/>
      <c r="K413" s="22"/>
      <c r="L413" s="117"/>
    </row>
    <row r="414" spans="1:12" s="8" customFormat="1" ht="15" customHeight="1">
      <c r="A414" s="173"/>
      <c r="B414" s="224" t="s">
        <v>2</v>
      </c>
      <c r="C414" s="225"/>
      <c r="D414" s="225"/>
      <c r="E414" s="225"/>
      <c r="F414" s="225"/>
      <c r="G414" s="225"/>
      <c r="H414" s="225"/>
      <c r="I414" s="225"/>
      <c r="J414" s="225"/>
      <c r="K414" s="225"/>
      <c r="L414" s="225"/>
    </row>
    <row r="415" spans="1:12" s="8" customFormat="1" ht="31.5">
      <c r="A415" s="103" t="s">
        <v>563</v>
      </c>
      <c r="B415" s="43" t="s">
        <v>3</v>
      </c>
      <c r="C415" s="186"/>
      <c r="D415" s="115">
        <f aca="true" t="shared" si="137" ref="D415:I415">SUM(D416:D418)</f>
        <v>161029</v>
      </c>
      <c r="E415" s="115">
        <f t="shared" si="137"/>
        <v>160929</v>
      </c>
      <c r="F415" s="115">
        <f t="shared" si="137"/>
        <v>-100</v>
      </c>
      <c r="G415" s="115">
        <f t="shared" si="137"/>
        <v>30867</v>
      </c>
      <c r="H415" s="115">
        <f t="shared" si="137"/>
        <v>30767</v>
      </c>
      <c r="I415" s="115">
        <f t="shared" si="137"/>
        <v>-100</v>
      </c>
      <c r="J415" s="16"/>
      <c r="K415" s="16"/>
      <c r="L415" s="115"/>
    </row>
    <row r="416" spans="1:12" s="8" customFormat="1" ht="15" customHeight="1">
      <c r="A416" s="103" t="s">
        <v>564</v>
      </c>
      <c r="B416" s="10" t="s">
        <v>600</v>
      </c>
      <c r="C416" s="186"/>
      <c r="D416" s="117">
        <f aca="true" t="shared" si="138" ref="D416:I416">SUM(D424+D427+D430+D433)</f>
        <v>1560</v>
      </c>
      <c r="E416" s="117">
        <f t="shared" si="138"/>
        <v>1460</v>
      </c>
      <c r="F416" s="117">
        <f t="shared" si="138"/>
        <v>-100</v>
      </c>
      <c r="G416" s="117">
        <f t="shared" si="138"/>
        <v>100</v>
      </c>
      <c r="H416" s="117">
        <f t="shared" si="138"/>
        <v>0</v>
      </c>
      <c r="I416" s="117">
        <f t="shared" si="138"/>
        <v>-100</v>
      </c>
      <c r="J416" s="22"/>
      <c r="K416" s="22"/>
      <c r="L416" s="117"/>
    </row>
    <row r="417" spans="1:12" s="8" customFormat="1" ht="15" customHeight="1">
      <c r="A417" s="103" t="s">
        <v>565</v>
      </c>
      <c r="B417" s="10" t="s">
        <v>601</v>
      </c>
      <c r="C417" s="186"/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22"/>
      <c r="K417" s="22"/>
      <c r="L417" s="117"/>
    </row>
    <row r="418" spans="1:12" s="8" customFormat="1" ht="15" customHeight="1">
      <c r="A418" s="103" t="s">
        <v>566</v>
      </c>
      <c r="B418" s="10" t="s">
        <v>602</v>
      </c>
      <c r="C418" s="186"/>
      <c r="D418" s="95">
        <f aca="true" t="shared" si="139" ref="D418:I418">SUM(D421)</f>
        <v>159469</v>
      </c>
      <c r="E418" s="95">
        <f t="shared" si="139"/>
        <v>159469</v>
      </c>
      <c r="F418" s="95">
        <f t="shared" si="139"/>
        <v>0</v>
      </c>
      <c r="G418" s="95">
        <f t="shared" si="139"/>
        <v>30767</v>
      </c>
      <c r="H418" s="95">
        <f t="shared" si="139"/>
        <v>30767</v>
      </c>
      <c r="I418" s="95">
        <f t="shared" si="139"/>
        <v>0</v>
      </c>
      <c r="J418" s="34"/>
      <c r="K418" s="34"/>
      <c r="L418" s="95"/>
    </row>
    <row r="419" spans="1:12" s="8" customFormat="1" ht="15" customHeight="1">
      <c r="A419" s="103"/>
      <c r="B419" s="10"/>
      <c r="C419" s="186"/>
      <c r="D419" s="95"/>
      <c r="E419" s="95"/>
      <c r="F419" s="95"/>
      <c r="G419" s="95"/>
      <c r="H419" s="95"/>
      <c r="I419" s="95"/>
      <c r="J419" s="34"/>
      <c r="K419" s="34"/>
      <c r="L419" s="95"/>
    </row>
    <row r="420" spans="1:12" s="8" customFormat="1" ht="82.5" customHeight="1" hidden="1">
      <c r="A420" s="103"/>
      <c r="B420" s="43" t="s">
        <v>62</v>
      </c>
      <c r="C420" s="195" t="s">
        <v>490</v>
      </c>
      <c r="D420" s="114">
        <f aca="true" t="shared" si="140" ref="D420:I420">SUM(D421)</f>
        <v>159469</v>
      </c>
      <c r="E420" s="114">
        <f t="shared" si="140"/>
        <v>159469</v>
      </c>
      <c r="F420" s="114">
        <f>SUM(F421)</f>
        <v>0</v>
      </c>
      <c r="G420" s="114">
        <f t="shared" si="140"/>
        <v>30767</v>
      </c>
      <c r="H420" s="114">
        <f t="shared" si="140"/>
        <v>30767</v>
      </c>
      <c r="I420" s="114">
        <f t="shared" si="140"/>
        <v>0</v>
      </c>
      <c r="J420" s="35"/>
      <c r="K420" s="35"/>
      <c r="L420" s="114"/>
    </row>
    <row r="421" spans="1:12" s="8" customFormat="1" ht="15.75" customHeight="1" hidden="1">
      <c r="A421" s="103"/>
      <c r="B421" s="10" t="s">
        <v>602</v>
      </c>
      <c r="C421" s="186"/>
      <c r="D421" s="111">
        <v>159469</v>
      </c>
      <c r="E421" s="111">
        <v>159469</v>
      </c>
      <c r="F421" s="116">
        <f>E421-D421</f>
        <v>0</v>
      </c>
      <c r="G421" s="111">
        <f>30767</f>
        <v>30767</v>
      </c>
      <c r="H421" s="95">
        <f>30767</f>
        <v>30767</v>
      </c>
      <c r="I421" s="116">
        <f>H421-G421</f>
        <v>0</v>
      </c>
      <c r="J421" s="34"/>
      <c r="K421" s="34"/>
      <c r="L421" s="116"/>
    </row>
    <row r="422" spans="1:12" s="8" customFormat="1" ht="15.75" customHeight="1" hidden="1">
      <c r="A422" s="103"/>
      <c r="B422" s="10"/>
      <c r="C422" s="186"/>
      <c r="D422" s="111"/>
      <c r="E422" s="111"/>
      <c r="F422" s="95"/>
      <c r="G422" s="111"/>
      <c r="H422" s="95"/>
      <c r="I422" s="95"/>
      <c r="J422" s="34"/>
      <c r="K422" s="34"/>
      <c r="L422" s="95"/>
    </row>
    <row r="423" spans="1:12" s="8" customFormat="1" ht="159.75" customHeight="1">
      <c r="A423" s="102" t="s">
        <v>567</v>
      </c>
      <c r="B423" s="43" t="s">
        <v>63</v>
      </c>
      <c r="C423" s="195" t="s">
        <v>491</v>
      </c>
      <c r="D423" s="114">
        <f>SUM(D424)</f>
        <v>1500</v>
      </c>
      <c r="E423" s="114">
        <f>SUM(E424)</f>
        <v>1400</v>
      </c>
      <c r="F423" s="114">
        <f>SUM(F424)</f>
        <v>-100</v>
      </c>
      <c r="G423" s="114">
        <v>100</v>
      </c>
      <c r="H423" s="114">
        <v>100</v>
      </c>
      <c r="I423" s="114">
        <f>SUM(I424)</f>
        <v>-100</v>
      </c>
      <c r="J423" s="214" t="s">
        <v>584</v>
      </c>
      <c r="K423" s="214" t="s">
        <v>584</v>
      </c>
      <c r="L423" s="214" t="s">
        <v>585</v>
      </c>
    </row>
    <row r="424" spans="1:12" s="8" customFormat="1" ht="15.75" customHeight="1">
      <c r="A424" s="102" t="s">
        <v>568</v>
      </c>
      <c r="B424" s="10" t="s">
        <v>600</v>
      </c>
      <c r="C424" s="186"/>
      <c r="D424" s="111">
        <v>1500</v>
      </c>
      <c r="E424" s="111">
        <f>1500-100</f>
        <v>1400</v>
      </c>
      <c r="F424" s="116">
        <f>E424-D424</f>
        <v>-100</v>
      </c>
      <c r="G424" s="111">
        <v>100</v>
      </c>
      <c r="H424" s="111"/>
      <c r="I424" s="116">
        <f>H424-G424</f>
        <v>-100</v>
      </c>
      <c r="J424" s="52"/>
      <c r="K424" s="52"/>
      <c r="L424" s="116"/>
    </row>
    <row r="425" spans="1:12" s="8" customFormat="1" ht="15.75" customHeight="1" hidden="1">
      <c r="A425" s="102"/>
      <c r="B425" s="10"/>
      <c r="C425" s="186"/>
      <c r="D425" s="111"/>
      <c r="E425" s="111"/>
      <c r="F425" s="111"/>
      <c r="G425" s="111"/>
      <c r="H425" s="111"/>
      <c r="I425" s="111"/>
      <c r="J425" s="52"/>
      <c r="K425" s="52"/>
      <c r="L425" s="111"/>
    </row>
    <row r="426" spans="1:12" s="8" customFormat="1" ht="126.75" customHeight="1" hidden="1">
      <c r="A426" s="102"/>
      <c r="B426" s="43" t="s">
        <v>64</v>
      </c>
      <c r="C426" s="195" t="s">
        <v>492</v>
      </c>
      <c r="D426" s="114">
        <v>0</v>
      </c>
      <c r="E426" s="114">
        <v>0</v>
      </c>
      <c r="F426" s="114">
        <v>0</v>
      </c>
      <c r="G426" s="114">
        <v>0</v>
      </c>
      <c r="H426" s="114">
        <v>0</v>
      </c>
      <c r="I426" s="114">
        <v>0</v>
      </c>
      <c r="J426" s="35"/>
      <c r="K426" s="35"/>
      <c r="L426" s="114"/>
    </row>
    <row r="427" spans="1:12" s="8" customFormat="1" ht="15.75" customHeight="1" hidden="1">
      <c r="A427" s="102"/>
      <c r="B427" s="10" t="s">
        <v>600</v>
      </c>
      <c r="C427" s="186"/>
      <c r="D427" s="111">
        <v>30</v>
      </c>
      <c r="E427" s="111">
        <v>30</v>
      </c>
      <c r="F427" s="116">
        <f>E427-D427</f>
        <v>0</v>
      </c>
      <c r="G427" s="111"/>
      <c r="H427" s="111"/>
      <c r="I427" s="116">
        <f>H427-G427</f>
        <v>0</v>
      </c>
      <c r="J427" s="52"/>
      <c r="K427" s="52"/>
      <c r="L427" s="116"/>
    </row>
    <row r="428" spans="1:12" s="8" customFormat="1" ht="15.75" customHeight="1" hidden="1">
      <c r="A428" s="102"/>
      <c r="B428" s="10"/>
      <c r="C428" s="186"/>
      <c r="D428" s="111"/>
      <c r="E428" s="111"/>
      <c r="F428" s="111"/>
      <c r="G428" s="111"/>
      <c r="H428" s="111"/>
      <c r="I428" s="111"/>
      <c r="J428" s="52"/>
      <c r="K428" s="52"/>
      <c r="L428" s="111"/>
    </row>
    <row r="429" spans="1:12" s="8" customFormat="1" ht="80.25" customHeight="1" hidden="1">
      <c r="A429" s="102"/>
      <c r="B429" s="43" t="s">
        <v>65</v>
      </c>
      <c r="C429" s="195" t="s">
        <v>493</v>
      </c>
      <c r="D429" s="114">
        <v>0</v>
      </c>
      <c r="E429" s="114">
        <v>0</v>
      </c>
      <c r="F429" s="114">
        <v>0</v>
      </c>
      <c r="G429" s="114">
        <v>0</v>
      </c>
      <c r="H429" s="114">
        <v>0</v>
      </c>
      <c r="I429" s="114">
        <v>0</v>
      </c>
      <c r="J429" s="35"/>
      <c r="K429" s="35"/>
      <c r="L429" s="114"/>
    </row>
    <row r="430" spans="1:12" s="8" customFormat="1" ht="15.75" customHeight="1" hidden="1">
      <c r="A430" s="102"/>
      <c r="B430" s="10" t="s">
        <v>600</v>
      </c>
      <c r="C430" s="186"/>
      <c r="D430" s="111">
        <v>0</v>
      </c>
      <c r="E430" s="111">
        <v>0</v>
      </c>
      <c r="F430" s="116">
        <f>E430-D430</f>
        <v>0</v>
      </c>
      <c r="G430" s="111"/>
      <c r="H430" s="111"/>
      <c r="I430" s="116">
        <f>H430-G430</f>
        <v>0</v>
      </c>
      <c r="J430" s="52"/>
      <c r="K430" s="52"/>
      <c r="L430" s="116"/>
    </row>
    <row r="431" spans="1:12" s="8" customFormat="1" ht="15.75" customHeight="1" hidden="1">
      <c r="A431" s="102"/>
      <c r="B431" s="10"/>
      <c r="C431" s="186"/>
      <c r="D431" s="111"/>
      <c r="E431" s="111"/>
      <c r="F431" s="111"/>
      <c r="G431" s="111"/>
      <c r="H431" s="111"/>
      <c r="I431" s="111"/>
      <c r="J431" s="52"/>
      <c r="K431" s="52"/>
      <c r="L431" s="111"/>
    </row>
    <row r="432" spans="1:12" s="8" customFormat="1" ht="81.75" customHeight="1" hidden="1">
      <c r="A432" s="102"/>
      <c r="B432" s="43" t="s">
        <v>66</v>
      </c>
      <c r="C432" s="195" t="s">
        <v>494</v>
      </c>
      <c r="D432" s="114">
        <v>0</v>
      </c>
      <c r="E432" s="114">
        <v>0</v>
      </c>
      <c r="F432" s="114">
        <v>0</v>
      </c>
      <c r="G432" s="114">
        <v>0</v>
      </c>
      <c r="H432" s="114">
        <v>0</v>
      </c>
      <c r="I432" s="114">
        <v>0</v>
      </c>
      <c r="J432" s="35"/>
      <c r="K432" s="35"/>
      <c r="L432" s="114"/>
    </row>
    <row r="433" spans="1:12" s="8" customFormat="1" ht="15.75" customHeight="1" hidden="1">
      <c r="A433" s="102"/>
      <c r="B433" s="10" t="s">
        <v>600</v>
      </c>
      <c r="C433" s="186"/>
      <c r="D433" s="111">
        <v>30</v>
      </c>
      <c r="E433" s="111">
        <v>30</v>
      </c>
      <c r="F433" s="116">
        <f>E433-D433</f>
        <v>0</v>
      </c>
      <c r="G433" s="111"/>
      <c r="H433" s="111"/>
      <c r="I433" s="116">
        <f>H433-G433</f>
        <v>0</v>
      </c>
      <c r="J433" s="52"/>
      <c r="K433" s="52"/>
      <c r="L433" s="116"/>
    </row>
    <row r="434" ht="12.75" hidden="1"/>
    <row r="435" ht="12.75" hidden="1"/>
  </sheetData>
  <sheetProtection/>
  <mergeCells count="44">
    <mergeCell ref="B134:L134"/>
    <mergeCell ref="B140:L140"/>
    <mergeCell ref="I5:L5"/>
    <mergeCell ref="H6:L6"/>
    <mergeCell ref="A8:L8"/>
    <mergeCell ref="A9:L9"/>
    <mergeCell ref="A10:L10"/>
    <mergeCell ref="B33:L33"/>
    <mergeCell ref="G12:I12"/>
    <mergeCell ref="J12:L12"/>
    <mergeCell ref="B39:L39"/>
    <mergeCell ref="B45:L45"/>
    <mergeCell ref="B58:L58"/>
    <mergeCell ref="B65:L65"/>
    <mergeCell ref="B414:L414"/>
    <mergeCell ref="A7:L7"/>
    <mergeCell ref="A11:A13"/>
    <mergeCell ref="B11:B13"/>
    <mergeCell ref="C11:C13"/>
    <mergeCell ref="D11:F12"/>
    <mergeCell ref="G11:L11"/>
    <mergeCell ref="B146:L146"/>
    <mergeCell ref="B304:L304"/>
    <mergeCell ref="B314:L314"/>
    <mergeCell ref="B326:L326"/>
    <mergeCell ref="B411:L411"/>
    <mergeCell ref="B320:L320"/>
    <mergeCell ref="B347:L347"/>
    <mergeCell ref="B402:L402"/>
    <mergeCell ref="B323:L323"/>
    <mergeCell ref="I1:L1"/>
    <mergeCell ref="I2:L2"/>
    <mergeCell ref="I3:L3"/>
    <mergeCell ref="I4:L4"/>
    <mergeCell ref="B157:L157"/>
    <mergeCell ref="B172:L172"/>
    <mergeCell ref="B285:L285"/>
    <mergeCell ref="B408:L408"/>
    <mergeCell ref="B353:L353"/>
    <mergeCell ref="B359:L359"/>
    <mergeCell ref="B363:L363"/>
    <mergeCell ref="B371:L371"/>
    <mergeCell ref="B290:L290"/>
    <mergeCell ref="B295:L295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3" r:id="rId1"/>
  <rowBreaks count="1" manualBreakCount="1">
    <brk id="4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2016-10-25T05:29:06Z</cp:lastPrinted>
  <dcterms:created xsi:type="dcterms:W3CDTF">2013-10-08T11:20:39Z</dcterms:created>
  <dcterms:modified xsi:type="dcterms:W3CDTF">2016-10-25T05:30:52Z</dcterms:modified>
  <cp:category/>
  <cp:version/>
  <cp:contentType/>
  <cp:contentStatus/>
</cp:coreProperties>
</file>