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5480" windowHeight="9510" activeTab="2"/>
  </bookViews>
  <sheets>
    <sheet name="Приложение № 2 План мероприятий" sheetId="1" r:id="rId1"/>
    <sheet name="Приложение 3 Перечень объектов " sheetId="2" r:id="rId2"/>
    <sheet name="Приложение № 5-1 Изменение " sheetId="3" r:id="rId3"/>
  </sheets>
  <definedNames>
    <definedName name="_xlnm.Print_Titles" localSheetId="0">'Приложение № 2 План мероприятий'!$15:$17</definedName>
    <definedName name="_xlnm.Print_Titles" localSheetId="2">'Приложение № 5-1 Изменение '!$B:$B,'Приложение № 5-1 Изменение '!$11:$13</definedName>
    <definedName name="_xlnm.Print_Area" localSheetId="1">'Приложение 3 Перечень объектов '!$A$1:$P$36</definedName>
    <definedName name="_xlnm.Print_Area" localSheetId="0">'Приложение № 2 План мероприятий'!$A$1:$K$443</definedName>
    <definedName name="_xlnm.Print_Area" localSheetId="2">'Приложение № 5-1 Изменение '!$A$1:$X$439</definedName>
  </definedNames>
  <calcPr fullCalcOnLoad="1"/>
</workbook>
</file>

<file path=xl/sharedStrings.xml><?xml version="1.0" encoding="utf-8"?>
<sst xmlns="http://schemas.openxmlformats.org/spreadsheetml/2006/main" count="1708" uniqueCount="681">
  <si>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</si>
  <si>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293</t>
  </si>
  <si>
    <t>294</t>
  </si>
  <si>
    <t>295</t>
  </si>
  <si>
    <t>296</t>
  </si>
  <si>
    <t>297</t>
  </si>
  <si>
    <t>298</t>
  </si>
  <si>
    <t>299</t>
  </si>
  <si>
    <t>300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</si>
  <si>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</si>
  <si>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</si>
  <si>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</si>
  <si>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1.3, целевые показатели 4,5 (строки 9,10), задача 1.4, целевой показатель 6 (строка 12)</t>
  </si>
  <si>
    <t>задача 1.1, целевой показатель 1 (строка 4), задача 1.3, целевой показатель 5 (строка10), задача 1.4, целевой показатель 6 (строка 12)</t>
  </si>
  <si>
    <t>задача 2.2, целевой показатель 8 (строка 18)</t>
  </si>
  <si>
    <t>задача 2.1, целевой показатель 7 (строка 16), задача 2.2, целевые показатели 8-11 (строки 18-21), задача 2.3, целевой показатель 12 (строка 23)</t>
  </si>
  <si>
    <t>задача 2.3, целевые показатели 13,14 (строки 24,25)</t>
  </si>
  <si>
    <t>задача 2.3, целевой показатель 15 (строка 26)</t>
  </si>
  <si>
    <t>МУНИЦИПАЛЬНОЙ ПРОГРАММЫ</t>
  </si>
  <si>
    <t>№ п/п</t>
  </si>
  <si>
    <t>Мероприятие муниципальной программы</t>
  </si>
  <si>
    <t>Всего изменение общего объема финансирования в рамках муниципальной программы, тыс.рублей</t>
  </si>
  <si>
    <t>объем финансирования муниципальной программы в действующей редакции</t>
  </si>
  <si>
    <t>объем финансирования муниципальной программы в новой редакции</t>
  </si>
  <si>
    <t>изменение объема финансирования муниципальной программы (+/-)</t>
  </si>
  <si>
    <t>1</t>
  </si>
  <si>
    <t>изменение объемов финансирования муниципальной программы</t>
  </si>
  <si>
    <t>изменение целевых показателей муниципальной программы</t>
  </si>
  <si>
    <t>значение целевого показателя муниципальной программы в действующей редакции</t>
  </si>
  <si>
    <t>значение целевого показателя  муниципальной программы в новой редакции</t>
  </si>
  <si>
    <t xml:space="preserve">Всего по направлению «Капитальные вложения» , в том числе:
</t>
  </si>
  <si>
    <r>
      <rPr>
        <b/>
        <sz val="8"/>
        <rFont val="Arial Cyr"/>
        <family val="0"/>
      </rPr>
      <t>Целевой показатель 2</t>
    </r>
    <r>
      <rPr>
        <sz val="8"/>
        <rFont val="Arial Cyr"/>
        <family val="0"/>
      </rPr>
      <t xml:space="preserve"> Увеличение количества мест в детских садах с 2594 мест на начало 2014 г до 2904 мест на начало 2021 года (мест);                                                                            </t>
    </r>
    <r>
      <rPr>
        <b/>
        <sz val="8"/>
        <rFont val="Arial Cyr"/>
        <family val="0"/>
      </rPr>
      <t>Целевой показатель 3</t>
    </r>
    <r>
      <rPr>
        <sz val="8"/>
        <rFont val="Arial Cyr"/>
        <family val="0"/>
      </rPr>
      <t xml:space="preserve"> Обеспеченность местами в дошкольных образовательных учреждениях детей в возрасте от 1,5 до 7 лет относительно общего количества детей этого возраста (%) </t>
    </r>
  </si>
  <si>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</si>
  <si>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Доля населения, удовлетворённого качеством услуг в сфере общего и дополнительного образования, от общего количества потребителей данных услуг (%)</t>
    </r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</si>
  <si>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</t>
    </r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</si>
  <si>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детей, охваченных организованным горячим питанием, от общего количества обучающихся (%)</t>
    </r>
  </si>
  <si>
    <r>
      <rPr>
        <b/>
        <sz val="8"/>
        <rFont val="Arial Cyr"/>
        <family val="0"/>
      </rPr>
      <t>Целевой показатель 13</t>
    </r>
    <r>
      <rPr>
        <sz val="8"/>
        <rFont val="Arial Cyr"/>
        <family val="0"/>
      </rPr>
      <t xml:space="preserve">  Доля обучающихся, сдавших нормативы ГТО, от общего количества обучающихся в образовательных организациях общего образования, принимавших участие в сдаче нормативов ГТО (%);                                                   </t>
    </r>
    <r>
      <rPr>
        <b/>
        <sz val="8"/>
        <rFont val="Arial Cyr"/>
        <family val="0"/>
      </rPr>
      <t>Целевой показатель 14</t>
    </r>
    <r>
      <rPr>
        <sz val="8"/>
        <rFont val="Arial Cyr"/>
        <family val="0"/>
      </rPr>
      <t xml:space="preserve">  Доля обучающихся, занимающихся физической культурой и спортом, от общего количества обучающихся в образовательных организациях общего образования (%)</t>
    </r>
  </si>
  <si>
    <r>
      <rPr>
        <b/>
        <sz val="8"/>
        <rFont val="Arial Cyr"/>
        <family val="0"/>
      </rPr>
      <t>Целевой показатель 13</t>
    </r>
    <r>
      <rPr>
        <sz val="8"/>
        <rFont val="Arial Cyr"/>
        <family val="0"/>
      </rPr>
      <t xml:space="preserve">  Доля обучающихся, получающих дополнительные образовательные услуги естественно-научного направления и технического профиля, от общего количества обучающихся в образовательных организациях общего образования (%);                                                   </t>
    </r>
  </si>
  <si>
    <t>изменение значения целевого показателя муниципальной программы (+/-)</t>
  </si>
  <si>
    <t>Цп 7  = 0;                                                                    Цп 8 = 0;                                                      Цп 9 = 0;                        ЦП 10 = 0;                          ЦП 11 = 0;                      ЦП 12 = 0</t>
  </si>
  <si>
    <r>
      <rPr>
        <b/>
        <sz val="8"/>
        <rFont val="Arial Cyr"/>
        <family val="0"/>
      </rPr>
      <t>Целевой показатель 1</t>
    </r>
    <r>
      <rPr>
        <sz val="8"/>
        <rFont val="Arial Cyr"/>
        <family val="0"/>
      </rPr>
      <t xml:space="preserve"> Доля образовательных организаций дошкольного образования, реализующих ФГОС дошкольного образования, от общего количества образовательных организаций (%);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5</t>
    </r>
    <r>
      <rPr>
        <sz val="8"/>
        <rFont val="Arial Cyr"/>
        <family val="0"/>
      </rPr>
      <t xml:space="preserve"> Доля населения, удовлетворённого качеством услуг дошкольного образования, от общего количества потребителей данной услуги (%);                                                                  </t>
    </r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</si>
  <si>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r>
      <rPr>
        <b/>
        <sz val="8"/>
        <rFont val="Arial Cyr"/>
        <family val="0"/>
      </rPr>
      <t>Целевой показатель 7</t>
    </r>
    <r>
      <rPr>
        <sz val="8"/>
        <rFont val="Arial Cyr"/>
        <family val="0"/>
      </rPr>
      <t xml:space="preserve">  Доля образовательных организаций общего образования, реализующих ФГОС общего образования при взаимодействии с образовательными организациями дополнительного образования, от общего количества организаций общего образования (%);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(%);                                                                                           </t>
    </r>
    <r>
      <rPr>
        <b/>
        <sz val="8"/>
        <rFont val="Arial Cyr"/>
        <family val="0"/>
      </rPr>
      <t>Целевой показатель 9</t>
    </r>
    <r>
      <rPr>
        <sz val="8"/>
        <rFont val="Arial Cyr"/>
        <family val="0"/>
      </rPr>
      <t xml:space="preserve">  Доля выпускников, не освоивших программу основного общего образования, от общего количества выпускников 9х классов (%);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10</t>
    </r>
    <r>
      <rPr>
        <sz val="8"/>
        <rFont val="Arial Cyr"/>
        <family val="0"/>
      </rPr>
      <t xml:space="preserve">  Доля выпускников, не освоивших программу среднего (полного) общего образования, от общего количества выпускников 11х классов (%);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11</t>
    </r>
    <r>
      <rPr>
        <sz val="8"/>
        <rFont val="Arial Cyr"/>
        <family val="0"/>
      </rPr>
      <t xml:space="preserve">  Отношение среднего балла ЕГЭ (в расчёте на 1 предмет) в 10 процентах школ с лучшими результатами ЕГЭ к среднему баллу ЕГЭ (в расчёте на 1 предмет) в 10% школ с худшими результатами ЕГЭ (единиц);                                                                          </t>
    </r>
    <r>
      <rPr>
        <b/>
        <sz val="8"/>
        <rFont val="Arial Cyr"/>
        <family val="0"/>
      </rPr>
      <t>Целевой показатель 12</t>
    </r>
    <r>
      <rPr>
        <sz val="8"/>
        <rFont val="Arial Cyr"/>
        <family val="0"/>
      </rPr>
      <t xml:space="preserve">  Доля зданий образовательных организаций, требующих капитального ремонта, от общего количества зданий образовательных организаций (%);         </t>
    </r>
  </si>
  <si>
    <t>Мероприятие 15.                                                                                             Капитальный ремонт зданий и помещений 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организациях, всего, из них:</t>
  </si>
  <si>
    <t>Окон, помещений, электрооборудования МАОУ СОШ № 8</t>
  </si>
  <si>
    <t>Системы отопления, помещений  МБОУ СОШ № 2</t>
  </si>
  <si>
    <t>задача 2.3, целевой показатель 16 (строка 27)</t>
  </si>
  <si>
    <t>задача 6.1, целевой показатель 35 (строка 66)</t>
  </si>
  <si>
    <t>задача 2.2, целевой показатель 8 (строка 18), задача 2.5, целевой показатель 18 (строка 31)</t>
  </si>
  <si>
    <t>задача 2.6, целевой показатель 19 (строка 33), задача 2.6, целевой показатель 20 (строка 35)</t>
  </si>
  <si>
    <t>задача 2.3, целевой показатель 12 (строка 23), задача 2.4, целевой показатель17 (строка 29), задача 2.5, целевой показатель 18 (строка 31)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</si>
  <si>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</si>
  <si>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</si>
  <si>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</si>
  <si>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</si>
  <si>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</si>
  <si>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4.1, целевой показатель 29 (строка 52), задача 4.2, целевой показатель 31 (строка 55)</t>
  </si>
  <si>
    <t>задача 4.1, целевой показатель 28 (строка 51)</t>
  </si>
  <si>
    <t>задача 5.1, целевой показатель 32 (строка 59), задача 5.2, целевой показатель 34 (строка 62)</t>
  </si>
  <si>
    <t>задача 5.1, целевые показатели 32,33 (строки 59-60), задача 5.2, целевой показатель 34 (строка 62)</t>
  </si>
  <si>
    <t>задача 5.1, целевой показатель 33 (строка 60)</t>
  </si>
  <si>
    <t>задача 5.2, целевой показатель 34 (строка 62)</t>
  </si>
  <si>
    <t>задачи 6.1-6.3, целевые показатели 35-38 (строки 66, 68,70, 71)</t>
  </si>
  <si>
    <t>задачи 6.3-6.4, целевые показатели 37-40 (строки 70, 71, 73, 74)</t>
  </si>
  <si>
    <t>задача 6.4, целевые показатели 39, 40 (строки 73,74)</t>
  </si>
  <si>
    <t>задача 6.2, целевой показатель 36 (строка 68)</t>
  </si>
  <si>
    <t>301</t>
  </si>
  <si>
    <t>302</t>
  </si>
  <si>
    <t>303</t>
  </si>
  <si>
    <t>304</t>
  </si>
  <si>
    <r>
      <rPr>
        <b/>
        <sz val="8"/>
        <rFont val="Arial Cyr"/>
        <family val="0"/>
      </rPr>
      <t xml:space="preserve">Целевой показатель </t>
    </r>
    <r>
      <rPr>
        <sz val="8"/>
        <rFont val="Arial Cyr"/>
        <family val="0"/>
      </rPr>
      <t xml:space="preserve">1 Доля образовательных организаций дошкольного образования, реализующих ФГОС дошкольного образования, от общего количества образовательных организаций (%);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5</t>
    </r>
    <r>
      <rPr>
        <sz val="8"/>
        <rFont val="Arial Cyr"/>
        <family val="0"/>
      </rPr>
      <t xml:space="preserve"> Доля населения, удовлетворённого качеством услуг дошкольного образования, от общего количества потребителей данной услуги (%);                                                                          </t>
    </r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</si>
  <si>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r>
      <rPr>
        <b/>
        <sz val="8"/>
        <rFont val="Arial Cyr"/>
        <family val="0"/>
      </rPr>
      <t>Целевой показатель 18</t>
    </r>
    <r>
      <rPr>
        <sz val="8"/>
        <rFont val="Arial Cyr"/>
        <family val="0"/>
      </rPr>
      <t xml:space="preserve"> Доля образовательных организаций общего и дополнительного образования, в которых соблюдены требования комплексной безопасности, от общего количества организаций общего и дополнительного образования (%)</t>
    </r>
  </si>
  <si>
    <r>
      <rPr>
        <b/>
        <sz val="8"/>
        <rFont val="Arial Cyr"/>
        <family val="0"/>
      </rPr>
      <t>Целевой показатель 19</t>
    </r>
    <r>
      <rPr>
        <sz val="8"/>
        <rFont val="Arial Cyr"/>
        <family val="0"/>
      </rPr>
      <t xml:space="preserve"> Доля образовательных организаций общего образования, в которых созданы условия для обучения детей-инвалидов и детей с ОВЗ, от общего количества организаций общего образования (%);                                                                      </t>
    </r>
    <r>
      <rPr>
        <b/>
        <sz val="8"/>
        <rFont val="Arial Cyr"/>
        <family val="0"/>
      </rPr>
      <t>Целевой показатель 20</t>
    </r>
    <r>
      <rPr>
        <sz val="8"/>
        <rFont val="Arial Cyr"/>
        <family val="0"/>
      </rPr>
      <t xml:space="preserve"> Количество детей-инвалидов, обучающихся на дому с применением дистанционных технологий (чел.);       </t>
    </r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</si>
  <si>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(%);                                                                                            </t>
    </r>
    <r>
      <rPr>
        <b/>
        <sz val="8"/>
        <rFont val="Arial Cyr"/>
        <family val="0"/>
      </rPr>
      <t>Целевой показатель 18</t>
    </r>
    <r>
      <rPr>
        <sz val="8"/>
        <rFont val="Arial Cyr"/>
        <family val="0"/>
      </rPr>
      <t xml:space="preserve"> Доля образовательных организаций общего и дополнительного образования, в которых соблюдены требования комплексной безопасности, от общего количества организаций общего и дополнительного образования (%)</t>
    </r>
  </si>
  <si>
    <r>
      <rPr>
        <b/>
        <sz val="8"/>
        <rFont val="Arial Cyr"/>
        <family val="0"/>
      </rPr>
      <t>Целевой показатель 23</t>
    </r>
    <r>
      <rPr>
        <sz val="8"/>
        <rFont val="Arial Cyr"/>
        <family val="0"/>
      </rPr>
      <t xml:space="preserve">  Число участников профессиональных конкурсов, в том числе победителей  (чел.);      </t>
    </r>
  </si>
  <si>
    <r>
      <rPr>
        <b/>
        <sz val="8"/>
        <rFont val="Arial Cyr"/>
        <family val="0"/>
      </rPr>
      <t>Целевой показатель 31</t>
    </r>
    <r>
      <rPr>
        <sz val="8"/>
        <rFont val="Arial Cyr"/>
        <family val="0"/>
      </rPr>
      <t xml:space="preserve">  Доля учреждений детского оздоровления и отдыха, соответствующих требованиям комплексной безопасности и санитарного законодательства, от общего количества учреждений детского оздоровления и отдыха  (%.);      </t>
    </r>
  </si>
  <si>
    <r>
      <rPr>
        <b/>
        <sz val="8"/>
        <rFont val="Arial Cyr"/>
        <family val="0"/>
      </rPr>
      <t>Целевой показатель 29</t>
    </r>
    <r>
      <rPr>
        <sz val="8"/>
        <rFont val="Arial Cyr"/>
        <family val="0"/>
      </rPr>
      <t xml:space="preserve">  Доля детей, имеющих положительный оздоровительный эффект, от общего числа оздоровленных детей  (%.);                              </t>
    </r>
    <r>
      <rPr>
        <b/>
        <sz val="8"/>
        <rFont val="Arial Cyr"/>
        <family val="0"/>
      </rPr>
      <t>Целевой показатель 31</t>
    </r>
    <r>
      <rPr>
        <sz val="8"/>
        <rFont val="Arial Cyr"/>
        <family val="0"/>
      </rPr>
      <t xml:space="preserve">  Доля учреждений детского оздоровления и отдыха, соответствующих требованиям комплексной безопасности и санитарного законодательства, от общего количества учреждений детского оздоровления и отдыха  (%.)       </t>
    </r>
  </si>
  <si>
    <r>
      <rPr>
        <b/>
        <sz val="8"/>
        <rFont val="Arial Cyr"/>
        <family val="0"/>
      </rPr>
      <t>Целевой показатель 28</t>
    </r>
    <r>
      <rPr>
        <sz val="8"/>
        <rFont val="Arial Cyr"/>
        <family val="0"/>
      </rPr>
      <t xml:space="preserve">  Доля детей, охваченных различными организованными формами оздоровления, отдыха и занятости в каникулярное и межканикулярное время, от общего количества детей в возрасте 6,5-17 лет  (%.);      </t>
    </r>
  </si>
  <si>
    <r>
      <rPr>
        <b/>
        <sz val="8"/>
        <rFont val="Arial Cyr"/>
        <family val="0"/>
      </rPr>
      <t>Целевой показатель 32</t>
    </r>
    <r>
      <rPr>
        <sz val="8"/>
        <rFont val="Arial Cyr"/>
        <family val="0"/>
      </rPr>
      <t xml:space="preserve">  Количество жалоб и обращений по фактам нарушения законодательства в сфере образования (кол-во);                                                                                          </t>
    </r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</si>
  <si>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r>
      <rPr>
        <b/>
        <sz val="8"/>
        <rFont val="Arial Cyr"/>
        <family val="0"/>
      </rPr>
      <t>Целевой показатель 32</t>
    </r>
    <r>
      <rPr>
        <sz val="8"/>
        <rFont val="Arial Cyr"/>
        <family val="0"/>
      </rPr>
      <t xml:space="preserve">  Количество жалоб и обращений по фактам нарушения законодательства в сфере образования (кол-во);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3</t>
    </r>
    <r>
      <rPr>
        <sz val="8"/>
        <rFont val="Arial Cyr"/>
        <family val="0"/>
      </rPr>
      <t xml:space="preserve">3  Доля образовательных организаций, работающих на основе показателей эффективности деятельности учреждения, от общего количества образовательных организаций (%);                                                                                            </t>
    </r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</si>
  <si>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r>
      <rPr>
        <b/>
        <sz val="8"/>
        <rFont val="Arial Cyr"/>
        <family val="0"/>
      </rPr>
      <t>Целевой показатель 32</t>
    </r>
    <r>
      <rPr>
        <sz val="8"/>
        <rFont val="Arial Cyr"/>
        <family val="0"/>
      </rPr>
      <t xml:space="preserve">  Количество жалоб и обращений по фактам нарушения законодательства в сфере образования (кол-во);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</si>
  <si>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r>
      <rPr>
        <b/>
        <sz val="8"/>
        <rFont val="Arial Cyr"/>
        <family val="0"/>
      </rPr>
      <t>Целевой показатель 3</t>
    </r>
    <r>
      <rPr>
        <sz val="8"/>
        <rFont val="Arial Cyr"/>
        <family val="0"/>
      </rPr>
      <t xml:space="preserve">3  Доля образовательных организаций, работающих на основе показателей эффективности деятельности учреждения, от общего количества образовательных организаций (%);                                            </t>
    </r>
  </si>
  <si>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</si>
  <si>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r>
      <rPr>
        <b/>
        <sz val="8"/>
        <rFont val="Arial Cyr"/>
        <family val="0"/>
      </rPr>
      <t>Целевой показатель 35</t>
    </r>
    <r>
      <rPr>
        <sz val="8"/>
        <rFont val="Arial Cyr"/>
        <family val="0"/>
      </rPr>
      <t xml:space="preserve"> Доля детей, охваченных организованным горячим питанием, от общего количества обучающихся (%)</t>
    </r>
  </si>
  <si>
    <r>
      <rPr>
        <b/>
        <sz val="8"/>
        <rFont val="Arial Cyr"/>
        <family val="0"/>
      </rPr>
      <t>Целевой показатель 36</t>
    </r>
    <r>
      <rPr>
        <sz val="8"/>
        <rFont val="Arial Cyr"/>
        <family val="0"/>
      </rPr>
      <t xml:space="preserve"> Доля населения, удовлетворённого организацией питания, от общего количества потребителей данной услуги(%) </t>
    </r>
  </si>
  <si>
    <r>
      <rPr>
        <b/>
        <sz val="8"/>
        <rFont val="Arial Cyr"/>
        <family val="0"/>
      </rPr>
      <t>Целевой показатель 16</t>
    </r>
    <r>
      <rPr>
        <sz val="8"/>
        <rFont val="Arial Cyr"/>
        <family val="0"/>
      </rPr>
      <t xml:space="preserve">  Удельный вес численности обучающихся , занимающихся в одну смену, в общей численности обучающихся в общеобразовательных организациях (%);                                                   </t>
    </r>
  </si>
  <si>
    <t>Спортивной площадки МАДОУ № 4</t>
  </si>
  <si>
    <t>МБДОУ № 34</t>
  </si>
  <si>
    <t>Окон и мастерских МАОУ СОШ № 9</t>
  </si>
  <si>
    <t>Кровли МАУ ДО "Центр "Остров"</t>
  </si>
  <si>
    <t>МБДОУ № 5</t>
  </si>
  <si>
    <t>МАБДОУ № 34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</si>
  <si>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</si>
  <si>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</si>
  <si>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</si>
  <si>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</si>
  <si>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</si>
  <si>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</si>
  <si>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</si>
  <si>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</si>
  <si>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</si>
  <si>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</si>
  <si>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</si>
  <si>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</si>
  <si>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</si>
  <si>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</si>
  <si>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</si>
  <si>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</si>
  <si>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</si>
  <si>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</si>
  <si>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</si>
  <si>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305</t>
  </si>
  <si>
    <t>306</t>
  </si>
  <si>
    <t>307</t>
  </si>
  <si>
    <t xml:space="preserve">Цп 18  = 0                                                                                                                   </t>
  </si>
  <si>
    <t xml:space="preserve">Цп 28  = 82%                                                                                                                   </t>
  </si>
  <si>
    <t xml:space="preserve">Цп 28  = 0                                                                                                                   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</si>
  <si>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</si>
  <si>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</si>
  <si>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</si>
  <si>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</si>
  <si>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</si>
  <si>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</si>
  <si>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</si>
  <si>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</si>
  <si>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</si>
  <si>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</si>
  <si>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</si>
  <si>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</si>
  <si>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</si>
  <si>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</si>
  <si>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</si>
  <si>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</si>
  <si>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</si>
  <si>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</si>
  <si>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</si>
  <si>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</si>
  <si>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</si>
  <si>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</si>
  <si>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</si>
  <si>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</si>
  <si>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</si>
  <si>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</si>
  <si>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</si>
  <si>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</si>
  <si>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</si>
  <si>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                      от                              №    </t>
  </si>
  <si>
    <t>Утверждено постановлением Админиистрации Североуральского городского округа</t>
  </si>
  <si>
    <t>№ ___________ от ______________________ 2016 года</t>
  </si>
  <si>
    <t>Приложение № 2 к муниципальной программе Североуральского городского округа</t>
  </si>
  <si>
    <t>форма № 5-1</t>
  </si>
  <si>
    <t>местный бюджет                                                                                                (дополнительные работы за рамками Соглашения)</t>
  </si>
  <si>
    <t>местный бюджет                                                                                    (дополнительные работы за рамками Соглашения)</t>
  </si>
  <si>
    <t>308</t>
  </si>
  <si>
    <t xml:space="preserve">Цп 12  = 0;                                                                    Цп 17 = 0;                                                      Цп 18 = 0 </t>
  </si>
  <si>
    <t xml:space="preserve">Цп 13  = 0                                                                                                             </t>
  </si>
  <si>
    <t>Мероприятие 8.                                                                                           Реконструкция объектов недвижимости образовательных организаций, всего, в том числе:</t>
  </si>
  <si>
    <t>ПРОЕКТ ПЛАНА МЕРОПРИЯТИЙ</t>
  </si>
  <si>
    <t>п.Черемухово, ул. Калинина, 5</t>
  </si>
  <si>
    <t>задача 1.3, целевой показатель 4 (строка 9)</t>
  </si>
  <si>
    <t>Кровли МАДОУ № 3</t>
  </si>
  <si>
    <t>Полов, дверных блоков, санузлов МАОУ СОШ № 14</t>
  </si>
  <si>
    <t>Мастерских МАОУ СОШ № 14</t>
  </si>
  <si>
    <t>БЮДЖЕТНАЯ РОСПИСЬ:</t>
  </si>
  <si>
    <t>Программа № 1 (курсовое обучение и пенсия)</t>
  </si>
  <si>
    <t>Программа № 5 (укрепление МТБ ДЮСШ)</t>
  </si>
  <si>
    <t>Итого разницы:</t>
  </si>
  <si>
    <t>отклонение</t>
  </si>
  <si>
    <t>Реконструкция кровли МАДОУ № 5</t>
  </si>
  <si>
    <t>55</t>
  </si>
  <si>
    <t>309</t>
  </si>
  <si>
    <t>310</t>
  </si>
  <si>
    <t>311</t>
  </si>
  <si>
    <t>312</t>
  </si>
  <si>
    <t>РАЗНИЦА между МП и БР это:</t>
  </si>
  <si>
    <t>в том числе 2017 год, тыс.рублей</t>
  </si>
  <si>
    <t>ПРОЕКТ</t>
  </si>
  <si>
    <t>ИЗМЕНЕНИЙ МЕРОПРИЯТИЙ, ОБЪЕМОВ ФИНАНСИРОВАНИЯ И ЦЕЛЕВЫХ ПОКАЗАТЕЛЕЙ</t>
  </si>
  <si>
    <t>в том числе 2018 год, тыс.рублей</t>
  </si>
  <si>
    <t>в том числе 2019 год, тыс.рублей</t>
  </si>
  <si>
    <t>Объект 2                                                                                                   (Реконструкция кровли МАДОУ № 5)</t>
  </si>
  <si>
    <t>октябрь 2017</t>
  </si>
  <si>
    <t>май                              2017</t>
  </si>
  <si>
    <t xml:space="preserve">Цп 4 = 0 </t>
  </si>
  <si>
    <t xml:space="preserve">Цп 4 = 55% </t>
  </si>
  <si>
    <r>
      <rPr>
        <b/>
        <sz val="8"/>
        <rFont val="Arial Cyr"/>
        <family val="0"/>
      </rPr>
      <t>Целевой показатель 4</t>
    </r>
    <r>
      <rPr>
        <sz val="8"/>
        <rFont val="Arial Cyr"/>
        <family val="0"/>
      </rPr>
      <t xml:space="preserve"> Доля зданий дошкольных образовательных организаций, требующих капитального ремонта, от общего количества зданий дошкольных образовательных организаций (%). </t>
    </r>
  </si>
  <si>
    <t xml:space="preserve">Цп 6 = 50% </t>
  </si>
  <si>
    <t xml:space="preserve">Цп 6 = 90% </t>
  </si>
  <si>
    <t xml:space="preserve">Цп 4  = 55%;                                                                    Цп 5 = 90%;                                                      Цп 6 = 50% </t>
  </si>
  <si>
    <t xml:space="preserve">Цп 4  = 45%;                                                                    Цп 5 = 95%;                                                      Цп 6 = 70% </t>
  </si>
  <si>
    <t xml:space="preserve">Цп 1  = 100%;                                                                    Цп 5 = 90%;                                                      Цп 6 = 50% </t>
  </si>
  <si>
    <t xml:space="preserve">Цп 1  = 100%;                                                                    Цп 5 = 95%;                                                      Цп 6 = 70% </t>
  </si>
  <si>
    <t xml:space="preserve">Цп 1  = 100%;                                                                    Цп 5 = 100%;                                                      Цп 6 = 90% </t>
  </si>
  <si>
    <t xml:space="preserve">Цп 18  = 73%                                                                                                                   </t>
  </si>
  <si>
    <t xml:space="preserve">Цп 18  = 79%                                                                                                                   </t>
  </si>
  <si>
    <t xml:space="preserve">Цп 18  = 93%                                                                                                                   </t>
  </si>
  <si>
    <t xml:space="preserve">Цп 12  = 30%;                                                                    Цп 17 = 80%;                                                      Цп 18 = 73% </t>
  </si>
  <si>
    <t xml:space="preserve">Цп 12  = 25%;                                                                    Цп 17 = 80%;                                                      Цп 18 = 79% </t>
  </si>
  <si>
    <t xml:space="preserve">Цп 12  = 20%;                                                                    Цп 17 = 100%;                                                      Цп 18 = 93% </t>
  </si>
  <si>
    <t>Цп 7  = 100%;                                                                    Цп 8 = 85%;                                                      Цп 9 = 0%;                               ЦП 10 = 2%;                          ЦП 11 = 1,4 ед;                      ЦП 12 = 30%</t>
  </si>
  <si>
    <t>Цп 7  = 100%;                                                                    Цп 8 = 90%;                                                      Цп 9 = 0%;                               ЦП 10 = 1%;                          ЦП 11 = 1,4 ед;                      ЦП 12 = 25%</t>
  </si>
  <si>
    <t>Цп 7  = 100%;                                                                    Цп 8 = 90%;                                                      Цп 9 = 0%;                               ЦП 10 = 1%;                          ЦП 11 = 1,3 ед;                      ЦП 12 = 20%</t>
  </si>
  <si>
    <t>Цп 8 = 85%;                                                        Цп 18 = 73%</t>
  </si>
  <si>
    <t>Цп 8 = 85%;                                                             Цп 18 = 73%</t>
  </si>
  <si>
    <t>Цп 8 = 0;                                                           Цп 18 = 0</t>
  </si>
  <si>
    <t>Цп 8 = 90%;                                                        Цп 18 = 79%</t>
  </si>
  <si>
    <t>Цп 8 = 90%;                                                        Цп 18 = 93%</t>
  </si>
  <si>
    <t xml:space="preserve">Цп 13  = 22%                                                                                                                  </t>
  </si>
  <si>
    <t xml:space="preserve">Цп 28  = 85%                                                                                                                   </t>
  </si>
  <si>
    <t xml:space="preserve">Цп 31  = 85%                                                                                                                   </t>
  </si>
  <si>
    <t xml:space="preserve">Цп 31  = 0                                                                                                                   </t>
  </si>
  <si>
    <t xml:space="preserve">Цп 31  = 90%                                                                                                                   </t>
  </si>
  <si>
    <t xml:space="preserve">Цп 6 = 30% </t>
  </si>
  <si>
    <t xml:space="preserve">Цп 6 = -20% </t>
  </si>
  <si>
    <t xml:space="preserve">Цп 6 = 40% </t>
  </si>
  <si>
    <t xml:space="preserve">Цп 6 = 70% </t>
  </si>
  <si>
    <t xml:space="preserve">Цп 6 = -30% </t>
  </si>
  <si>
    <t xml:space="preserve">Цп 6 = -40% </t>
  </si>
  <si>
    <t xml:space="preserve">Цп 4  = 55%;                                                                    Цп 5 = 90%;                                                      Цп 6 = 30% </t>
  </si>
  <si>
    <t xml:space="preserve">Цп 4  = 0;                                                                    Цп 5 = 0;                                                      Цп 6 = -20% </t>
  </si>
  <si>
    <t xml:space="preserve">Цп 4  = 45%;                                                                    Цп 5 = 95%;                                                      Цп 6 = 40% </t>
  </si>
  <si>
    <t>Цп 4  = 0;                                                                    Цп 5 = 0;                                                      Цп 6 = -30%</t>
  </si>
  <si>
    <t xml:space="preserve">Цп 1  = 100%;                                                                    Цп 5 = 90%;                                                      Цп 6 = 30% </t>
  </si>
  <si>
    <t xml:space="preserve">Цп 1  = 0;                                                                    Цп 5 = 0;                                                      Цп 6 = -20% </t>
  </si>
  <si>
    <t xml:space="preserve">Цп 1  = 100%;                                                                    Цп 5 = 95%;                                                      Цп 6 =40% </t>
  </si>
  <si>
    <t xml:space="preserve">Цп 1  = 100%;                                                                    Цп 5 = 95%;                                                      Цп 6 = 40% </t>
  </si>
  <si>
    <t xml:space="preserve">Цп 1  = 0;                                                                    Цп 5 = 0;                                                      Цп 6 = -30% </t>
  </si>
  <si>
    <t xml:space="preserve">Цп 1  = 100%;                                                                    Цп 5 = 100%;                                                      Цп 6 = 50% </t>
  </si>
  <si>
    <t>Цп 1  = 0;                                                                    Цп 5 = 0;                                                      Цп 6 = -40%</t>
  </si>
  <si>
    <t xml:space="preserve">Цп 1  = 0;                                                                    Цп 5 = 0;                                                      Цп 6 = -40% </t>
  </si>
  <si>
    <t>Цп 16 = 91,9%</t>
  </si>
  <si>
    <t>Цп 16 = 0</t>
  </si>
  <si>
    <t>Цп 16 = 100%</t>
  </si>
  <si>
    <t>Цп 16 = -8,1%</t>
  </si>
  <si>
    <t xml:space="preserve">Цп 18  = -6%                                                                                                                   </t>
  </si>
  <si>
    <t xml:space="preserve">Цп 18  = -20%                                                                                                                   </t>
  </si>
  <si>
    <t xml:space="preserve">Цп 12  = 25%;                                                                    Цп 17 = 80%;                                                      Цп 18 = 73% </t>
  </si>
  <si>
    <t xml:space="preserve">Цп 12  = 0;                                                                    Цп 17 = 0;                                                      Цп 18 =-6% </t>
  </si>
  <si>
    <t xml:space="preserve">Цп 12  = 20%;                                                                    Цп 17 = 100%;                                                      Цп 18 = 73% </t>
  </si>
  <si>
    <t xml:space="preserve">Цп 12  = 0;                                                                    Цп 17 = 0;                                                      Цп 18 = -20% </t>
  </si>
  <si>
    <t>Цп 8 = 90%;                                                        Цп 18 = 73%</t>
  </si>
  <si>
    <t>Цп 8 = 0;                                                           Цп 18 = -6%</t>
  </si>
  <si>
    <t>Цп 8 = 0;                                                           Цп 18 = -20%</t>
  </si>
  <si>
    <t>Цп 35 = 0;                         Цп 36 = 0;                        Цп 37 = 0;                     Цп 38 =0;</t>
  </si>
  <si>
    <t xml:space="preserve">Цп 31  = 100%                                                                                                                   </t>
  </si>
  <si>
    <t>Цп 32 = 7;                                                                  Цп 34 = 4%</t>
  </si>
  <si>
    <t>Цп 32 = 0;                                                                  Цп 34 = 0</t>
  </si>
  <si>
    <t>Цп 32 = 5;                                                                  Цп 34 = 3%</t>
  </si>
  <si>
    <t>Цп 32 = 4;                                                                  Цп 34 = 2%</t>
  </si>
  <si>
    <t>Цп 32 = 7;                                                   Цп 33 = 80%                                                                 Цп 34 = 4%</t>
  </si>
  <si>
    <t>Цп 32 = 0;                                                   Цп 33 = 0;                                                                 Цп 34 = 0</t>
  </si>
  <si>
    <t>Цп 32 = 5;                                                   Цп 33 = 90%                                                                 Цп 34 = 3%</t>
  </si>
  <si>
    <t>Цп 32 = 4;                                                   Цп 33 = 100%                                                                 Цп 34 = 2%</t>
  </si>
  <si>
    <t>Цп 21 = 0;                                                                  Цп 22 = 0</t>
  </si>
  <si>
    <t>Цп 21 = 90%;                                                                  Цп 22 = 90%</t>
  </si>
  <si>
    <t>Цп 33 = 80%</t>
  </si>
  <si>
    <t>Цп 33 = 0</t>
  </si>
  <si>
    <t>Цп 34 = 4%</t>
  </si>
  <si>
    <t>Цп 34 = 0</t>
  </si>
  <si>
    <t>Цп 35 = 95%;                         Цп 36 = 92%;                        Цп 37 = 3;                     Цп 38 =15%;</t>
  </si>
  <si>
    <t>Цп 35 = 97%;                         Цп 36 = 95%;                        Цп 37 = 1;                     Цп 38 =20%;</t>
  </si>
  <si>
    <t>Цп 35 = 97%;                         Цп 36 = 95%;                        Цп 37 = 1;                     Цп 38 =25%;</t>
  </si>
  <si>
    <t>Цп 24 = 0,43 ед;                         Цп 25 = 100%;                        Цп 26 = 14,2%;                     Цп 27 =99,6%;</t>
  </si>
  <si>
    <t>Цп 24 = 0;                         Цп 25 = 0;                        Цп 26 = 0;                     Цп 27 =0;</t>
  </si>
  <si>
    <t>Цп 24 = 0,4 ед;                         Цп 25 = 100%;                        Цп 26 = 14,5%;                     Цп 27 =100%;</t>
  </si>
  <si>
    <t>Цп 24 = 0,3 ед;                         Цп 25 = 100%;                        Цп 26 = 15%;                     Цп 27 =100%;</t>
  </si>
  <si>
    <t xml:space="preserve">Цп 35 = 95%;                         </t>
  </si>
  <si>
    <t xml:space="preserve">Цп 35 = 0;                         </t>
  </si>
  <si>
    <t xml:space="preserve">Цп 35 = 97%;                         </t>
  </si>
  <si>
    <t>Цп 32 = 4;                                                                  Цп 34 = 23%</t>
  </si>
  <si>
    <r>
      <rPr>
        <b/>
        <sz val="8"/>
        <rFont val="Arial Cyr"/>
        <family val="0"/>
      </rPr>
      <t>Целевой показатель 4</t>
    </r>
    <r>
      <rPr>
        <sz val="8"/>
        <rFont val="Arial Cyr"/>
        <family val="0"/>
      </rPr>
      <t xml:space="preserve"> Доля  зданий дошкольных образовательных организаций, требующих капитального ремонта, от общего количества  зданий дошкольных образовательных организаций (%);                                                                                      </t>
    </r>
    <r>
      <rPr>
        <b/>
        <sz val="8"/>
        <rFont val="Arial Cyr"/>
        <family val="0"/>
      </rPr>
      <t>Целевой показатель 5</t>
    </r>
    <r>
      <rPr>
        <sz val="8"/>
        <rFont val="Arial Cyr"/>
        <family val="0"/>
      </rPr>
      <t xml:space="preserve"> Доля населения, удовлетворённого качеством услуг дошкольного образования, от общего количества потребителей данной услуги (%);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</si>
  <si>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r>
      <rPr>
        <b/>
        <sz val="8"/>
        <rFont val="Arial Cyr"/>
        <family val="0"/>
      </rPr>
      <t xml:space="preserve">Целевой показатель 12 </t>
    </r>
    <r>
      <rPr>
        <sz val="8"/>
        <rFont val="Arial Cyr"/>
        <family val="0"/>
      </rPr>
      <t>Доля зданий образовательных организаций, требующих капитального ремонта, от общего количества зданий образовательных организаций (%);</t>
    </r>
    <r>
      <rPr>
        <b/>
        <sz val="8"/>
        <rFont val="Arial Cyr"/>
        <family val="0"/>
      </rPr>
      <t xml:space="preserve">                                                                                     Целевой показатель 17</t>
    </r>
    <r>
      <rPr>
        <sz val="8"/>
        <rFont val="Arial Cyr"/>
        <family val="0"/>
      </rPr>
      <t xml:space="preserve"> Доля обучающихся, получающих образовательные услуги в условиях, соответствующих современным требованиям, от общего количества обучающихся в образовательных организациях общего образования (%);                                                                                     </t>
    </r>
    <r>
      <rPr>
        <b/>
        <sz val="8"/>
        <rFont val="Arial Cyr"/>
        <family val="0"/>
      </rPr>
      <t>Целевой показатель 18</t>
    </r>
    <r>
      <rPr>
        <sz val="8"/>
        <rFont val="Arial Cyr"/>
        <family val="0"/>
      </rPr>
      <t xml:space="preserve"> Доля образовательных организаций общего и дополнительного образования, в которых соблюдены требования комплексной безопасности, от общего количества организаций общего и дополнительного образования (%)</t>
    </r>
  </si>
  <si>
    <r>
      <rPr>
        <b/>
        <sz val="8"/>
        <rFont val="Arial Cyr"/>
        <family val="0"/>
      </rPr>
      <t>Целевой показатель 7</t>
    </r>
    <r>
      <rPr>
        <sz val="8"/>
        <rFont val="Arial Cyr"/>
        <family val="0"/>
      </rPr>
      <t xml:space="preserve">  Доля образовательных организаций общего образования, реализующих ФГОС общего образования при взаимодействии с образовательными организациями дополнительного образования, от общего количества организаций общего образования (%);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(%);                                                                                           </t>
    </r>
    <r>
      <rPr>
        <b/>
        <sz val="8"/>
        <rFont val="Arial Cyr"/>
        <family val="0"/>
      </rPr>
      <t>Целевой показатель 9</t>
    </r>
    <r>
      <rPr>
        <sz val="8"/>
        <rFont val="Arial Cyr"/>
        <family val="0"/>
      </rPr>
      <t xml:space="preserve">  Доля выпускников, не освоивших программу основного общего образования, от общего количества выпускников 9х классов (%);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10</t>
    </r>
    <r>
      <rPr>
        <sz val="8"/>
        <rFont val="Arial Cyr"/>
        <family val="0"/>
      </rPr>
      <t xml:space="preserve">  Доля выпускников, не освоивших программу среднего (полного) общего образования, от общего количества выпускников 11х классов (%);                                                     </t>
    </r>
    <r>
      <rPr>
        <b/>
        <sz val="8"/>
        <rFont val="Arial Cyr"/>
        <family val="0"/>
      </rPr>
      <t>Целевой показатель 11</t>
    </r>
    <r>
      <rPr>
        <sz val="8"/>
        <rFont val="Arial Cyr"/>
        <family val="0"/>
      </rPr>
      <t xml:space="preserve">  Отношение среднего балла ЕГЭ (в расчёте на 1 предмет) в 10 процентах школ с лучшими результатами ЕГЭ к среднему баллу ЕГЭ (в расчёте на 1 предмет) в 10% школ с худшими результатами ЕГЭ (единиц);                                                                          </t>
    </r>
    <r>
      <rPr>
        <b/>
        <sz val="8"/>
        <rFont val="Arial Cyr"/>
        <family val="0"/>
      </rPr>
      <t>Целевой показатель 12</t>
    </r>
    <r>
      <rPr>
        <sz val="8"/>
        <rFont val="Arial Cyr"/>
        <family val="0"/>
      </rPr>
      <t xml:space="preserve">  Доля зданий образовательных организаций, требующих капитального ремонта, от общего количества зданий образовательных организаций (%);         </t>
    </r>
  </si>
  <si>
    <r>
      <rPr>
        <b/>
        <sz val="8"/>
        <rFont val="Arial Cyr"/>
        <family val="0"/>
      </rPr>
      <t>Целевой показатель 24</t>
    </r>
    <r>
      <rPr>
        <sz val="8"/>
        <rFont val="Arial Cyr"/>
        <family val="0"/>
      </rPr>
      <t xml:space="preserve">  Соотношение числа молодых педагогических работников к числу педагогических работников пенсионного возраста (единиц);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25</t>
    </r>
    <r>
      <rPr>
        <sz val="8"/>
        <rFont val="Arial Cyr"/>
        <family val="0"/>
      </rPr>
      <t xml:space="preserve">  Доля молодых специалистов, продолжающих работу после первого, второго, третьего года работы, от общего количества молодых специалистов (%);                                                                       </t>
    </r>
    <r>
      <rPr>
        <b/>
        <sz val="8"/>
        <rFont val="Arial Cyr"/>
        <family val="0"/>
      </rPr>
      <t xml:space="preserve">Целевой показатель 26 </t>
    </r>
    <r>
      <rPr>
        <sz val="8"/>
        <rFont val="Arial Cyr"/>
        <family val="0"/>
      </rPr>
      <t xml:space="preserve"> Доля педагогических работников в возрасте до 30 лет, от общего количества педагогических работников (%);      </t>
    </r>
    <r>
      <rPr>
        <b/>
        <sz val="8"/>
        <rFont val="Arial Cyr"/>
        <family val="0"/>
      </rPr>
      <t>Целевой показатель 27</t>
    </r>
    <r>
      <rPr>
        <sz val="8"/>
        <rFont val="Arial Cyr"/>
        <family val="0"/>
      </rPr>
      <t xml:space="preserve">  Обеспеченность муниципальных образовательных учреждений профессиональными кадрами (%);                                      </t>
    </r>
  </si>
  <si>
    <r>
      <rPr>
        <b/>
        <sz val="8"/>
        <rFont val="Arial Cyr"/>
        <family val="0"/>
      </rPr>
      <t>Целевой показатель 21</t>
    </r>
    <r>
      <rPr>
        <sz val="8"/>
        <rFont val="Arial Cyr"/>
        <family val="0"/>
      </rPr>
      <t xml:space="preserve">  Доля педагогов, прошедших повышение квалификации, от общего количества педагогов, работающих в организациях общего образования (%);                                                                          </t>
    </r>
    <r>
      <rPr>
        <b/>
        <sz val="8"/>
        <rFont val="Arial Cyr"/>
        <family val="0"/>
      </rPr>
      <t>Целевой показатель 22</t>
    </r>
    <r>
      <rPr>
        <sz val="8"/>
        <rFont val="Arial Cyr"/>
        <family val="0"/>
      </rPr>
      <t xml:space="preserve">  Доля педагогических работников, имеющих квалификационные категории по итогам аттестации, от общего количества педагогических работникови (%);     </t>
    </r>
  </si>
  <si>
    <r>
      <rPr>
        <b/>
        <sz val="8"/>
        <rFont val="Arial Cyr"/>
        <family val="0"/>
      </rPr>
      <t>Целевой показатель 21</t>
    </r>
    <r>
      <rPr>
        <sz val="8"/>
        <rFont val="Arial Cyr"/>
        <family val="0"/>
      </rPr>
      <t xml:space="preserve">  Доля педагогов, прошедших повышение квалификации, от общего количества педагогов, работающих в организациях общего образования (%);                                                                             </t>
    </r>
    <r>
      <rPr>
        <b/>
        <sz val="8"/>
        <rFont val="Arial Cyr"/>
        <family val="0"/>
      </rPr>
      <t>Целевой показатель 22</t>
    </r>
    <r>
      <rPr>
        <sz val="8"/>
        <rFont val="Arial Cyr"/>
        <family val="0"/>
      </rPr>
      <t xml:space="preserve">  Доля педагогических работников, имеющих квалификационные категории по итогам аттестации, от общего количества педагогических работникови (%);     </t>
    </r>
  </si>
  <si>
    <r>
      <rPr>
        <b/>
        <sz val="8"/>
        <rFont val="Arial Cyr"/>
        <family val="0"/>
      </rPr>
      <t>Целевой показатель 35</t>
    </r>
    <r>
      <rPr>
        <sz val="8"/>
        <rFont val="Arial Cyr"/>
        <family val="0"/>
      </rPr>
      <t xml:space="preserve"> Доля детей, охваченных организованным горячим питанием, от общего количества обучающихся (%);                                                                                       </t>
    </r>
    <r>
      <rPr>
        <b/>
        <sz val="8"/>
        <rFont val="Arial Cyr"/>
        <family val="0"/>
      </rPr>
      <t>Целевой показатель 36</t>
    </r>
    <r>
      <rPr>
        <sz val="8"/>
        <rFont val="Arial Cyr"/>
        <family val="0"/>
      </rPr>
      <t xml:space="preserve"> Доля населения, удовлетворённого организацией питания, от общего количества потребителей данной услуги(%);                                                                                   </t>
    </r>
    <r>
      <rPr>
        <b/>
        <sz val="8"/>
        <rFont val="Arial Cyr"/>
        <family val="0"/>
      </rPr>
      <t>Целевой показатель 37</t>
    </r>
    <r>
      <rPr>
        <sz val="8"/>
        <rFont val="Arial Cyr"/>
        <family val="0"/>
      </rPr>
      <t xml:space="preserve"> Количество предписаний контролирующих органов (кол-во);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38</t>
    </r>
    <r>
      <rPr>
        <sz val="8"/>
        <rFont val="Arial Cyr"/>
        <family val="0"/>
      </rPr>
      <t xml:space="preserve"> Доля работников, прошедших обучение по теме «Здоровье учащихся» от общего количества педагогов (%)</t>
    </r>
  </si>
  <si>
    <t>Наименование целевого показателя муниципальной программы                                (с указанием единицы измерения)</t>
  </si>
  <si>
    <r>
      <rPr>
        <b/>
        <sz val="8"/>
        <rFont val="Arial Cyr"/>
        <family val="0"/>
      </rPr>
      <t xml:space="preserve">Целевой показатель 37 </t>
    </r>
    <r>
      <rPr>
        <sz val="8"/>
        <rFont val="Arial Cyr"/>
        <family val="0"/>
      </rPr>
      <t xml:space="preserve">Количество предписаний контролирующих органов (кол-во);                                                                                                          </t>
    </r>
    <r>
      <rPr>
        <b/>
        <sz val="8"/>
        <rFont val="Arial Cyr"/>
        <family val="0"/>
      </rPr>
      <t xml:space="preserve">Целевой показатель 38 </t>
    </r>
    <r>
      <rPr>
        <sz val="8"/>
        <rFont val="Arial Cyr"/>
        <family val="0"/>
      </rPr>
      <t xml:space="preserve">Доля работников, прошедших обучение по теме «Здоровье учащихся» от общего количества педагогов (%);                                                                                   </t>
    </r>
    <r>
      <rPr>
        <b/>
        <sz val="8"/>
        <rFont val="Arial Cyr"/>
        <family val="0"/>
      </rPr>
      <t>Целевой показатель 39</t>
    </r>
    <r>
      <rPr>
        <sz val="8"/>
        <rFont val="Arial Cyr"/>
        <family val="0"/>
      </rPr>
      <t xml:space="preserve"> Количество просветительских мероприятий с детьми (кол-во);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40</t>
    </r>
    <r>
      <rPr>
        <sz val="8"/>
        <rFont val="Arial Cyr"/>
        <family val="0"/>
      </rPr>
      <t xml:space="preserve"> Количество просветительских мероприятий с родителями (законными представителями) (кол-во)</t>
    </r>
  </si>
  <si>
    <r>
      <rPr>
        <b/>
        <sz val="8"/>
        <rFont val="Arial Cyr"/>
        <family val="0"/>
      </rPr>
      <t>Целевой показатель 39</t>
    </r>
    <r>
      <rPr>
        <sz val="8"/>
        <rFont val="Arial Cyr"/>
        <family val="0"/>
      </rPr>
      <t xml:space="preserve"> Количество просветительских мероприятий с детьми (кол-во);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40</t>
    </r>
    <r>
      <rPr>
        <sz val="8"/>
        <rFont val="Arial Cyr"/>
        <family val="0"/>
      </rPr>
      <t xml:space="preserve"> Количество просветительских мероприятий с родителями (законными представителями) (кол-во)</t>
    </r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</si>
  <si>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период, всего, из них:</t>
  </si>
  <si>
    <t xml:space="preserve">четвертый                               год </t>
  </si>
  <si>
    <t>ПРОЕКТ ПЕРЕЧЕНЯ</t>
  </si>
  <si>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</si>
  <si>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</si>
  <si>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</si>
  <si>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</si>
  <si>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</si>
  <si>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</si>
  <si>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</si>
  <si>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</si>
  <si>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</si>
  <si>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</si>
  <si>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</si>
  <si>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</si>
  <si>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</si>
  <si>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</si>
  <si>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</si>
  <si>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</si>
  <si>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</si>
  <si>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</si>
  <si>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</si>
  <si>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</si>
  <si>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</si>
  <si>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</si>
  <si>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</si>
  <si>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</si>
  <si>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</si>
  <si>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</si>
  <si>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</si>
  <si>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</si>
  <si>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</si>
  <si>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</si>
  <si>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</si>
  <si>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Окон и санузлов МАОУ СОШ № 13</t>
  </si>
  <si>
    <t>Окон и бассейна МАОУ СОШ № 11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</si>
  <si>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</si>
  <si>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</si>
  <si>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</si>
  <si>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</si>
  <si>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</si>
  <si>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</si>
  <si>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</si>
  <si>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</si>
  <si>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</si>
  <si>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</si>
  <si>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</si>
  <si>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</si>
  <si>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</si>
  <si>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</si>
  <si>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</si>
  <si>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</si>
  <si>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</si>
  <si>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</si>
  <si>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</si>
  <si>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</si>
  <si>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</si>
  <si>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</si>
  <si>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</si>
  <si>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</si>
  <si>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</si>
  <si>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</si>
  <si>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</si>
  <si>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</si>
  <si>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</si>
  <si>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</si>
  <si>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</si>
  <si>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</si>
  <si>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</si>
  <si>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</si>
  <si>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</si>
  <si>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</si>
  <si>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</si>
  <si>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</si>
  <si>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</si>
  <si>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</si>
  <si>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</si>
  <si>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</si>
  <si>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</si>
  <si>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</si>
  <si>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</si>
  <si>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</si>
  <si>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</si>
  <si>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</si>
  <si>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</si>
  <si>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33</t>
  </si>
  <si>
    <t>МАДОУ № 30</t>
  </si>
  <si>
    <t>МАДОУ № 5</t>
  </si>
  <si>
    <t>Бассейна МАДОУ № 30</t>
  </si>
  <si>
    <t xml:space="preserve">Кровли МАДОУ № 5 </t>
  </si>
  <si>
    <t>Кровли и перехода МБДОУ  № 18</t>
  </si>
  <si>
    <t>Кровли  МБДОУ № 14</t>
  </si>
  <si>
    <t>Оконных блоков МАДОУ № 23</t>
  </si>
  <si>
    <t>Оконных блоков МБДОУ № 34</t>
  </si>
  <si>
    <t>Оконных блоков МБДОУ № 32</t>
  </si>
  <si>
    <t>МАДОУ № 23</t>
  </si>
  <si>
    <t>МБОУ СОШ №  2</t>
  </si>
  <si>
    <t>МБОУ СОШ №  15</t>
  </si>
  <si>
    <t>Окон, фасада, входной группы МАОУ СОШ № 1</t>
  </si>
  <si>
    <t>Окон МАОУ СОШ № 9</t>
  </si>
  <si>
    <t>МАОУ СОШ № 1</t>
  </si>
  <si>
    <t>МБОУ СОШ № 2</t>
  </si>
  <si>
    <t>МАОУ СОШ № 9</t>
  </si>
  <si>
    <t>МБОУ ООШ № 4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</si>
  <si>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</si>
  <si>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</si>
  <si>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</si>
  <si>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</si>
  <si>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</si>
  <si>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</si>
  <si>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</si>
  <si>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</si>
  <si>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Открытие дошкольной группы м МБОУ ООШ № 4 п.Баяновка на 20 мест, всего: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</si>
  <si>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</si>
  <si>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</si>
  <si>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</si>
  <si>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</si>
  <si>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</si>
  <si>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</si>
  <si>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</si>
  <si>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</si>
  <si>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</si>
  <si>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</si>
  <si>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>86</t>
  </si>
  <si>
    <t>87</t>
  </si>
  <si>
    <t>88</t>
  </si>
  <si>
    <t>89</t>
  </si>
  <si>
    <t>90</t>
  </si>
  <si>
    <t>91</t>
  </si>
  <si>
    <t>92</t>
  </si>
  <si>
    <t>93</t>
  </si>
  <si>
    <t>85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</si>
  <si>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</si>
  <si>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</si>
  <si>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</si>
  <si>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</si>
  <si>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</si>
  <si>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</si>
  <si>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</si>
  <si>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</si>
  <si>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</si>
  <si>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</si>
  <si>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</si>
  <si>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</si>
  <si>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</si>
  <si>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</si>
  <si>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</si>
  <si>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</si>
  <si>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</si>
  <si>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</si>
  <si>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</si>
  <si>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</si>
  <si>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</si>
  <si>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</si>
  <si>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</si>
  <si>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</si>
  <si>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</si>
  <si>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</si>
  <si>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</si>
  <si>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</si>
  <si>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</si>
  <si>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</si>
  <si>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</si>
  <si>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</si>
  <si>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</si>
  <si>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</si>
  <si>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</si>
  <si>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</si>
  <si>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</si>
  <si>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</si>
  <si>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</si>
  <si>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</si>
  <si>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</si>
  <si>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</si>
  <si>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</si>
  <si>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</si>
  <si>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</si>
  <si>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</si>
  <si>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</si>
  <si>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</si>
  <si>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</si>
  <si>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</si>
  <si>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</si>
  <si>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</si>
  <si>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</si>
  <si>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</si>
  <si>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</si>
  <si>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</si>
  <si>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</si>
  <si>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</si>
  <si>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</si>
  <si>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</si>
  <si>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</si>
  <si>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</si>
  <si>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</si>
  <si>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</si>
  <si>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</si>
  <si>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</si>
  <si>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</si>
  <si>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</si>
  <si>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</si>
  <si>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</si>
  <si>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</si>
  <si>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</si>
  <si>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</si>
  <si>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</si>
  <si>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</si>
  <si>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</si>
  <si>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</si>
  <si>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</si>
  <si>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</si>
  <si>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</si>
  <si>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</si>
  <si>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</si>
  <si>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</si>
  <si>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</si>
  <si>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</si>
  <si>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</si>
  <si>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</si>
  <si>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</si>
  <si>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</si>
  <si>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</si>
  <si>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</si>
  <si>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</si>
  <si>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</si>
  <si>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</si>
  <si>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</si>
  <si>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</si>
  <si>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</si>
  <si>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</si>
  <si>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</si>
  <si>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</si>
  <si>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</si>
  <si>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</si>
  <si>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</si>
  <si>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</si>
  <si>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</si>
  <si>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</si>
  <si>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</si>
  <si>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</si>
  <si>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</si>
  <si>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</si>
  <si>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</si>
  <si>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</si>
  <si>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</si>
  <si>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</si>
  <si>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</si>
  <si>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</si>
  <si>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</si>
  <si>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</si>
  <si>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</si>
  <si>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</si>
  <si>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</si>
  <si>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</si>
  <si>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</si>
  <si>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</si>
  <si>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</si>
  <si>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</si>
  <si>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</si>
  <si>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</si>
  <si>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</si>
  <si>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</si>
  <si>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</si>
  <si>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</si>
  <si>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</si>
  <si>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</si>
  <si>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</si>
  <si>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</si>
  <si>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</si>
  <si>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</si>
  <si>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</si>
  <si>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</si>
  <si>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</si>
  <si>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</si>
  <si>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</si>
  <si>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</si>
  <si>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</si>
  <si>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</si>
  <si>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</si>
  <si>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</si>
  <si>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</si>
  <si>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</si>
  <si>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</si>
  <si>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</si>
  <si>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</si>
  <si>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</si>
  <si>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</si>
  <si>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</si>
  <si>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</si>
  <si>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</si>
  <si>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</si>
  <si>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</si>
  <si>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</si>
  <si>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</si>
  <si>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</si>
  <si>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</si>
  <si>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</si>
  <si>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</si>
  <si>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</si>
  <si>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</si>
  <si>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</si>
  <si>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</si>
  <si>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</si>
  <si>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</si>
  <si>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</si>
  <si>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</si>
  <si>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</si>
  <si>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</si>
  <si>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</si>
  <si>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</si>
  <si>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237</t>
  </si>
  <si>
    <t>238</t>
  </si>
  <si>
    <t>239</t>
  </si>
  <si>
    <t>240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</si>
  <si>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</si>
  <si>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</si>
  <si>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</si>
  <si>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</si>
  <si>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</si>
  <si>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</si>
  <si>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>235</t>
  </si>
  <si>
    <t>236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</si>
  <si>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</si>
  <si>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</si>
  <si>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</si>
  <si>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</si>
  <si>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</si>
  <si>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</si>
  <si>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</si>
  <si>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</si>
  <si>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</si>
  <si>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</si>
  <si>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</si>
  <si>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</si>
  <si>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</si>
  <si>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</si>
  <si>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</si>
  <si>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</si>
  <si>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</si>
  <si>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</si>
  <si>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</si>
  <si>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</si>
  <si>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</si>
  <si>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</si>
  <si>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</si>
  <si>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</si>
  <si>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</si>
  <si>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</si>
  <si>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</si>
  <si>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</si>
  <si>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</si>
  <si>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</si>
  <si>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</si>
  <si>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</si>
  <si>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</si>
  <si>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</si>
  <si>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</si>
  <si>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113</t>
  </si>
  <si>
    <t>115</t>
  </si>
  <si>
    <t>116</t>
  </si>
  <si>
    <t>117</t>
  </si>
  <si>
    <t>118</t>
  </si>
  <si>
    <t>219</t>
  </si>
  <si>
    <t>Приложение № 3</t>
  </si>
  <si>
    <t>объектов капитального строительства для бюджетных инвестиций</t>
  </si>
  <si>
    <t>муниципальной программы "Развитие образования в Североуральском городском округе" на 2014-2020 г.г.</t>
  </si>
  <si>
    <t>Всего по объекту 1, в том числе:</t>
  </si>
  <si>
    <t>Адрес объекта капитального строительства</t>
  </si>
  <si>
    <t xml:space="preserve"> </t>
  </si>
  <si>
    <t>Форма собственности</t>
  </si>
  <si>
    <t>муниципальная</t>
  </si>
  <si>
    <t>Сметная стоимость объекта</t>
  </si>
  <si>
    <t>в текущих ценах (на момент составления ПСД)</t>
  </si>
  <si>
    <t>в ценах соответствующих лет реализации проекта</t>
  </si>
  <si>
    <t>Сроки строительства (проектно-сметных работ, экспертизы проектно-сметной документации)</t>
  </si>
  <si>
    <t>начало</t>
  </si>
  <si>
    <t>ввод (завершение)</t>
  </si>
  <si>
    <t>Наименование объекта капитального строительства / Источники</t>
  </si>
  <si>
    <t>Ноябрь 2013</t>
  </si>
  <si>
    <t>Декабрь 2014</t>
  </si>
  <si>
    <t>п.Калья, ул.Больничный переулок, 4а</t>
  </si>
  <si>
    <t>Объект 1                                                                                                   (Строительство детского сада на 90 мест)</t>
  </si>
  <si>
    <t>федеральный</t>
  </si>
  <si>
    <t>Всего по объекту 2, в том числе:</t>
  </si>
  <si>
    <t>288</t>
  </si>
  <si>
    <t>Фасада, ливневых водостоков МАОУ СОШ № 14</t>
  </si>
  <si>
    <t>289</t>
  </si>
  <si>
    <t>к Постановлению Администрации</t>
  </si>
  <si>
    <t>Североуральского городского округа</t>
  </si>
  <si>
    <t xml:space="preserve">от                              №    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</si>
  <si>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</si>
  <si>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</si>
  <si>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</si>
  <si>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</si>
  <si>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</si>
  <si>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МАОУ СОШ №  14</t>
  </si>
  <si>
    <t>Кровли здания МАОУ СОШ № 14 по ул.Больничный пер., 5</t>
  </si>
  <si>
    <t>Здание МАОУ СОШ № 14 по ул.Больничный пер., 5</t>
  </si>
  <si>
    <t>290</t>
  </si>
  <si>
    <t>291</t>
  </si>
  <si>
    <t>292</t>
  </si>
  <si>
    <t>Мероприятие 12.                                                                                             Проектно-изыскательские работы, экспертиза и подготовительные мероприятия по оборудованию спортивной площадки на территории МАОУ СОШ № 8, всего, из них: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</si>
</sst>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</numFmts>
  <fonts count="68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3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2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i/>
      <sz val="10"/>
      <color indexed="62"/>
      <name val="Arial Cyr"/>
      <family val="0"/>
    </font>
    <font>
      <sz val="12"/>
      <color indexed="20"/>
      <name val="Arial Cyr"/>
      <family val="0"/>
    </font>
    <font>
      <sz val="10"/>
      <color indexed="20"/>
      <name val="Arial Cyr"/>
      <family val="0"/>
    </font>
    <font>
      <b/>
      <sz val="10"/>
      <color indexed="20"/>
      <name val="Arial Cyr"/>
      <family val="0"/>
    </font>
    <font>
      <i/>
      <sz val="10"/>
      <color indexed="20"/>
      <name val="Arial Cyr"/>
      <family val="0"/>
    </font>
    <font>
      <b/>
      <sz val="9"/>
      <color indexed="62"/>
      <name val="Arial Cyr"/>
      <family val="0"/>
    </font>
    <font>
      <sz val="11"/>
      <color indexed="62"/>
      <name val="Arial Cyr"/>
      <family val="0"/>
    </font>
    <font>
      <b/>
      <sz val="9"/>
      <color indexed="20"/>
      <name val="Arial Cyr"/>
      <family val="0"/>
    </font>
    <font>
      <sz val="11"/>
      <color indexed="2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4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77" fontId="0" fillId="0" borderId="11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177" fontId="11" fillId="0" borderId="11" xfId="0" applyNumberFormat="1" applyFont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177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77" fontId="0" fillId="0" borderId="13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177" fontId="2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8" fillId="22" borderId="11" xfId="0" applyNumberFormat="1" applyFont="1" applyFill="1" applyBorder="1" applyAlignment="1">
      <alignment horizontal="left" vertical="center" wrapText="1"/>
    </xf>
    <xf numFmtId="177" fontId="2" fillId="22" borderId="11" xfId="0" applyNumberFormat="1" applyFont="1" applyFill="1" applyBorder="1" applyAlignment="1">
      <alignment horizontal="righ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177" fontId="0" fillId="25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77" fontId="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77" fontId="22" fillId="0" borderId="11" xfId="0" applyNumberFormat="1" applyFont="1" applyBorder="1" applyAlignment="1">
      <alignment horizontal="right" vertical="center" wrapText="1"/>
    </xf>
    <xf numFmtId="177" fontId="2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77" fontId="23" fillId="0" borderId="11" xfId="0" applyNumberFormat="1" applyFont="1" applyBorder="1" applyAlignment="1">
      <alignment horizontal="right" vertical="center" wrapText="1"/>
    </xf>
    <xf numFmtId="177" fontId="23" fillId="25" borderId="11" xfId="0" applyNumberFormat="1" applyFont="1" applyFill="1" applyBorder="1" applyAlignment="1">
      <alignment horizontal="right" vertical="center" wrapText="1"/>
    </xf>
    <xf numFmtId="177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77" fontId="11" fillId="2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7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77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7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4" fillId="0" borderId="11" xfId="0" applyNumberFormat="1" applyFont="1" applyBorder="1" applyAlignment="1">
      <alignment horizontal="left" vertical="center" wrapText="1"/>
    </xf>
    <xf numFmtId="177" fontId="14" fillId="0" borderId="0" xfId="0" applyNumberFormat="1" applyFont="1" applyAlignment="1">
      <alignment horizontal="left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7" fontId="0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0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7" fontId="25" fillId="0" borderId="11" xfId="0" applyNumberFormat="1" applyFont="1" applyBorder="1" applyAlignment="1">
      <alignment horizontal="right" vertical="center" wrapText="1"/>
    </xf>
    <xf numFmtId="179" fontId="7" fillId="0" borderId="0" xfId="0" applyNumberFormat="1" applyFont="1" applyAlignment="1">
      <alignment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2" fillId="22" borderId="11" xfId="0" applyNumberFormat="1" applyFont="1" applyFill="1" applyBorder="1" applyAlignment="1">
      <alignment horizontal="right" vertical="center" wrapText="1"/>
    </xf>
    <xf numFmtId="180" fontId="18" fillId="0" borderId="0" xfId="0" applyNumberFormat="1" applyFont="1" applyAlignment="1">
      <alignment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177" fontId="14" fillId="0" borderId="0" xfId="0" applyNumberFormat="1" applyFont="1" applyAlignment="1">
      <alignment wrapText="1"/>
    </xf>
    <xf numFmtId="178" fontId="2" fillId="0" borderId="13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top" wrapText="1"/>
    </xf>
    <xf numFmtId="177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lef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178" fontId="0" fillId="0" borderId="11" xfId="0" applyNumberFormat="1" applyFont="1" applyBorder="1" applyAlignment="1">
      <alignment horizontal="center" vertical="center" wrapText="1"/>
    </xf>
    <xf numFmtId="178" fontId="2" fillId="24" borderId="11" xfId="0" applyNumberFormat="1" applyFont="1" applyFill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178" fontId="11" fillId="0" borderId="11" xfId="0" applyNumberFormat="1" applyFont="1" applyFill="1" applyBorder="1" applyAlignment="1">
      <alignment horizontal="right" vertical="center" wrapText="1"/>
    </xf>
    <xf numFmtId="178" fontId="11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16" fillId="0" borderId="11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22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7" fillId="22" borderId="15" xfId="0" applyNumberFormat="1" applyFont="1" applyFill="1" applyBorder="1" applyAlignment="1">
      <alignment vertical="center" wrapText="1"/>
    </xf>
    <xf numFmtId="49" fontId="7" fillId="24" borderId="15" xfId="0" applyNumberFormat="1" applyFont="1" applyFill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6" borderId="15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 wrapText="1"/>
    </xf>
    <xf numFmtId="178" fontId="0" fillId="24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8" fontId="0" fillId="22" borderId="11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11" fillId="0" borderId="13" xfId="0" applyNumberFormat="1" applyFont="1" applyFill="1" applyBorder="1" applyAlignment="1">
      <alignment horizontal="center" vertical="center" wrapText="1"/>
    </xf>
    <xf numFmtId="178" fontId="11" fillId="0" borderId="13" xfId="0" applyNumberFormat="1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7" fontId="0" fillId="0" borderId="11" xfId="0" applyNumberFormat="1" applyFont="1" applyBorder="1" applyAlignment="1">
      <alignment horizontal="center" vertical="center" wrapText="1"/>
    </xf>
    <xf numFmtId="177" fontId="28" fillId="0" borderId="11" xfId="0" applyNumberFormat="1" applyFont="1" applyBorder="1" applyAlignment="1">
      <alignment horizontal="center" vertical="center" wrapText="1"/>
    </xf>
    <xf numFmtId="177" fontId="29" fillId="0" borderId="11" xfId="0" applyNumberFormat="1" applyFont="1" applyBorder="1" applyAlignment="1">
      <alignment horizontal="center" vertical="center" wrapText="1"/>
    </xf>
    <xf numFmtId="177" fontId="11" fillId="0" borderId="11" xfId="0" applyNumberFormat="1" applyFont="1" applyBorder="1" applyAlignment="1">
      <alignment horizontal="center" vertical="center" wrapText="1"/>
    </xf>
    <xf numFmtId="178" fontId="30" fillId="0" borderId="13" xfId="0" applyNumberFormat="1" applyFont="1" applyBorder="1" applyAlignment="1">
      <alignment horizontal="left" vertical="center" wrapText="1"/>
    </xf>
    <xf numFmtId="178" fontId="30" fillId="0" borderId="13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Border="1" applyAlignment="1">
      <alignment horizontal="left" vertical="center" wrapText="1"/>
    </xf>
    <xf numFmtId="177" fontId="21" fillId="0" borderId="1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7" fontId="22" fillId="0" borderId="11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178" fontId="0" fillId="0" borderId="14" xfId="0" applyNumberFormat="1" applyFont="1" applyFill="1" applyBorder="1" applyAlignment="1">
      <alignment horizontal="right" vertical="center" wrapText="1"/>
    </xf>
    <xf numFmtId="177" fontId="0" fillId="0" borderId="14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178" fontId="2" fillId="22" borderId="11" xfId="0" applyNumberFormat="1" applyFont="1" applyFill="1" applyBorder="1" applyAlignment="1">
      <alignment horizontal="right" vertical="center" wrapText="1"/>
    </xf>
    <xf numFmtId="178" fontId="2" fillId="6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177" fontId="21" fillId="0" borderId="13" xfId="0" applyNumberFormat="1" applyFont="1" applyFill="1" applyBorder="1" applyAlignment="1">
      <alignment horizontal="left" vertical="center" wrapText="1"/>
    </xf>
    <xf numFmtId="182" fontId="2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 horizontal="left"/>
    </xf>
    <xf numFmtId="178" fontId="0" fillId="0" borderId="11" xfId="0" applyNumberForma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49" fontId="2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/>
    </xf>
    <xf numFmtId="178" fontId="2" fillId="0" borderId="11" xfId="0" applyNumberFormat="1" applyFont="1" applyBorder="1" applyAlignment="1">
      <alignment/>
    </xf>
    <xf numFmtId="0" fontId="21" fillId="0" borderId="0" xfId="0" applyFont="1" applyAlignment="1">
      <alignment horizontal="left"/>
    </xf>
    <xf numFmtId="49" fontId="51" fillId="0" borderId="0" xfId="0" applyNumberFormat="1" applyFont="1" applyAlignment="1">
      <alignment/>
    </xf>
    <xf numFmtId="0" fontId="51" fillId="0" borderId="11" xfId="0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4" fontId="51" fillId="0" borderId="11" xfId="0" applyNumberFormat="1" applyFont="1" applyBorder="1" applyAlignment="1">
      <alignment/>
    </xf>
    <xf numFmtId="4" fontId="51" fillId="0" borderId="11" xfId="0" applyNumberFormat="1" applyFont="1" applyFill="1" applyBorder="1" applyAlignment="1">
      <alignment/>
    </xf>
    <xf numFmtId="178" fontId="51" fillId="0" borderId="11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177" fontId="2" fillId="0" borderId="13" xfId="0" applyNumberFormat="1" applyFont="1" applyFill="1" applyBorder="1" applyAlignment="1">
      <alignment horizontal="left" vertical="center" wrapText="1"/>
    </xf>
    <xf numFmtId="178" fontId="2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7" xfId="0" applyFont="1" applyBorder="1" applyAlignment="1">
      <alignment/>
    </xf>
    <xf numFmtId="0" fontId="8" fillId="22" borderId="15" xfId="0" applyNumberFormat="1" applyFont="1" applyFill="1" applyBorder="1" applyAlignment="1">
      <alignment vertical="center" wrapText="1"/>
    </xf>
    <xf numFmtId="0" fontId="8" fillId="22" borderId="14" xfId="0" applyNumberFormat="1" applyFont="1" applyFill="1" applyBorder="1" applyAlignment="1">
      <alignment vertical="center" wrapText="1"/>
    </xf>
    <xf numFmtId="0" fontId="8" fillId="24" borderId="15" xfId="0" applyNumberFormat="1" applyFont="1" applyFill="1" applyBorder="1" applyAlignment="1">
      <alignment vertical="center" wrapText="1"/>
    </xf>
    <xf numFmtId="0" fontId="8" fillId="24" borderId="14" xfId="0" applyNumberFormat="1" applyFont="1" applyFill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4" xfId="0" applyNumberFormat="1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0" fontId="53" fillId="0" borderId="0" xfId="0" applyFont="1" applyAlignment="1">
      <alignment/>
    </xf>
    <xf numFmtId="177" fontId="53" fillId="0" borderId="0" xfId="0" applyNumberFormat="1" applyFont="1" applyAlignment="1">
      <alignment/>
    </xf>
    <xf numFmtId="0" fontId="53" fillId="0" borderId="17" xfId="0" applyFont="1" applyBorder="1" applyAlignment="1">
      <alignment/>
    </xf>
    <xf numFmtId="178" fontId="54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77" fontId="55" fillId="25" borderId="11" xfId="0" applyNumberFormat="1" applyFont="1" applyFill="1" applyBorder="1" applyAlignment="1">
      <alignment horizontal="right" vertical="center" wrapText="1"/>
    </xf>
    <xf numFmtId="177" fontId="54" fillId="25" borderId="11" xfId="0" applyNumberFormat="1" applyFont="1" applyFill="1" applyBorder="1" applyAlignment="1">
      <alignment horizontal="right" vertical="center" wrapText="1"/>
    </xf>
    <xf numFmtId="177" fontId="56" fillId="25" borderId="11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177" fontId="57" fillId="0" borderId="0" xfId="0" applyNumberFormat="1" applyFont="1" applyAlignment="1">
      <alignment/>
    </xf>
    <xf numFmtId="0" fontId="57" fillId="0" borderId="17" xfId="0" applyFont="1" applyBorder="1" applyAlignment="1">
      <alignment/>
    </xf>
    <xf numFmtId="178" fontId="58" fillId="0" borderId="11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177" fontId="59" fillId="25" borderId="11" xfId="0" applyNumberFormat="1" applyFont="1" applyFill="1" applyBorder="1" applyAlignment="1">
      <alignment horizontal="right" vertical="center" wrapText="1"/>
    </xf>
    <xf numFmtId="177" fontId="58" fillId="25" borderId="11" xfId="0" applyNumberFormat="1" applyFont="1" applyFill="1" applyBorder="1" applyAlignment="1">
      <alignment horizontal="right" vertical="center" wrapText="1"/>
    </xf>
    <xf numFmtId="177" fontId="60" fillId="25" borderId="11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177" fontId="59" fillId="0" borderId="11" xfId="0" applyNumberFormat="1" applyFont="1" applyFill="1" applyBorder="1" applyAlignment="1">
      <alignment horizontal="right" vertical="center" wrapText="1"/>
    </xf>
    <xf numFmtId="177" fontId="58" fillId="0" borderId="11" xfId="0" applyNumberFormat="1" applyFont="1" applyFill="1" applyBorder="1" applyAlignment="1">
      <alignment horizontal="right" vertical="center" wrapText="1"/>
    </xf>
    <xf numFmtId="177" fontId="55" fillId="22" borderId="11" xfId="0" applyNumberFormat="1" applyFont="1" applyFill="1" applyBorder="1" applyAlignment="1">
      <alignment horizontal="right" vertical="center" wrapText="1"/>
    </xf>
    <xf numFmtId="177" fontId="54" fillId="0" borderId="11" xfId="0" applyNumberFormat="1" applyFont="1" applyFill="1" applyBorder="1" applyAlignment="1">
      <alignment horizontal="right" vertical="center" wrapText="1"/>
    </xf>
    <xf numFmtId="177" fontId="54" fillId="0" borderId="11" xfId="0" applyNumberFormat="1" applyFont="1" applyBorder="1" applyAlignment="1">
      <alignment horizontal="center" vertical="center" wrapText="1"/>
    </xf>
    <xf numFmtId="177" fontId="55" fillId="24" borderId="11" xfId="0" applyNumberFormat="1" applyFont="1" applyFill="1" applyBorder="1" applyAlignment="1">
      <alignment horizontal="center" vertical="center" wrapText="1"/>
    </xf>
    <xf numFmtId="177" fontId="54" fillId="0" borderId="11" xfId="0" applyNumberFormat="1" applyFont="1" applyBorder="1" applyAlignment="1">
      <alignment horizontal="right" vertical="center" wrapText="1"/>
    </xf>
    <xf numFmtId="177" fontId="55" fillId="0" borderId="11" xfId="0" applyNumberFormat="1" applyFont="1" applyBorder="1" applyAlignment="1">
      <alignment horizontal="right" vertical="center" wrapText="1"/>
    </xf>
    <xf numFmtId="177" fontId="55" fillId="0" borderId="13" xfId="0" applyNumberFormat="1" applyFont="1" applyBorder="1" applyAlignment="1">
      <alignment horizontal="right" vertical="center" wrapText="1"/>
    </xf>
    <xf numFmtId="177" fontId="54" fillId="0" borderId="13" xfId="0" applyNumberFormat="1" applyFont="1" applyBorder="1" applyAlignment="1">
      <alignment horizontal="right" vertical="center" wrapText="1"/>
    </xf>
    <xf numFmtId="177" fontId="55" fillId="0" borderId="11" xfId="0" applyNumberFormat="1" applyFont="1" applyFill="1" applyBorder="1" applyAlignment="1">
      <alignment horizontal="right" vertical="center" wrapText="1"/>
    </xf>
    <xf numFmtId="177" fontId="56" fillId="0" borderId="11" xfId="0" applyNumberFormat="1" applyFont="1" applyFill="1" applyBorder="1" applyAlignment="1">
      <alignment horizontal="right" vertical="center" wrapText="1"/>
    </xf>
    <xf numFmtId="177" fontId="55" fillId="0" borderId="13" xfId="0" applyNumberFormat="1" applyFont="1" applyFill="1" applyBorder="1" applyAlignment="1">
      <alignment horizontal="left" vertical="center" wrapText="1"/>
    </xf>
    <xf numFmtId="177" fontId="61" fillId="0" borderId="13" xfId="0" applyNumberFormat="1" applyFont="1" applyFill="1" applyBorder="1" applyAlignment="1">
      <alignment horizontal="left" vertical="center" wrapText="1"/>
    </xf>
    <xf numFmtId="177" fontId="54" fillId="0" borderId="13" xfId="0" applyNumberFormat="1" applyFont="1" applyFill="1" applyBorder="1" applyAlignment="1">
      <alignment horizontal="right" vertical="center" wrapText="1"/>
    </xf>
    <xf numFmtId="177" fontId="56" fillId="0" borderId="11" xfId="0" applyNumberFormat="1" applyFont="1" applyBorder="1" applyAlignment="1">
      <alignment horizontal="right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59" fillId="22" borderId="11" xfId="0" applyNumberFormat="1" applyFont="1" applyFill="1" applyBorder="1" applyAlignment="1">
      <alignment horizontal="right" vertical="center" wrapText="1"/>
    </xf>
    <xf numFmtId="177" fontId="58" fillId="0" borderId="11" xfId="0" applyNumberFormat="1" applyFont="1" applyBorder="1" applyAlignment="1">
      <alignment horizontal="center" vertical="center" wrapText="1"/>
    </xf>
    <xf numFmtId="177" fontId="59" fillId="24" borderId="11" xfId="0" applyNumberFormat="1" applyFont="1" applyFill="1" applyBorder="1" applyAlignment="1">
      <alignment horizontal="center" vertical="center" wrapText="1"/>
    </xf>
    <xf numFmtId="177" fontId="58" fillId="0" borderId="11" xfId="0" applyNumberFormat="1" applyFont="1" applyBorder="1" applyAlignment="1">
      <alignment horizontal="right" vertical="center" wrapText="1"/>
    </xf>
    <xf numFmtId="177" fontId="59" fillId="0" borderId="11" xfId="0" applyNumberFormat="1" applyFont="1" applyBorder="1" applyAlignment="1">
      <alignment horizontal="right" vertical="center" wrapText="1"/>
    </xf>
    <xf numFmtId="177" fontId="59" fillId="0" borderId="13" xfId="0" applyNumberFormat="1" applyFont="1" applyBorder="1" applyAlignment="1">
      <alignment horizontal="right" vertical="center" wrapText="1"/>
    </xf>
    <xf numFmtId="177" fontId="58" fillId="0" borderId="13" xfId="0" applyNumberFormat="1" applyFont="1" applyBorder="1" applyAlignment="1">
      <alignment horizontal="right" vertical="center" wrapText="1"/>
    </xf>
    <xf numFmtId="177" fontId="60" fillId="0" borderId="11" xfId="0" applyNumberFormat="1" applyFont="1" applyFill="1" applyBorder="1" applyAlignment="1">
      <alignment horizontal="right" vertical="center" wrapText="1"/>
    </xf>
    <xf numFmtId="177" fontId="59" fillId="0" borderId="13" xfId="0" applyNumberFormat="1" applyFont="1" applyFill="1" applyBorder="1" applyAlignment="1">
      <alignment horizontal="left" vertical="center" wrapText="1"/>
    </xf>
    <xf numFmtId="177" fontId="63" fillId="0" borderId="13" xfId="0" applyNumberFormat="1" applyFont="1" applyFill="1" applyBorder="1" applyAlignment="1">
      <alignment horizontal="left" vertical="center" wrapText="1"/>
    </xf>
    <xf numFmtId="177" fontId="58" fillId="0" borderId="13" xfId="0" applyNumberFormat="1" applyFont="1" applyFill="1" applyBorder="1" applyAlignment="1">
      <alignment horizontal="right" vertical="center" wrapText="1"/>
    </xf>
    <xf numFmtId="177" fontId="60" fillId="0" borderId="11" xfId="0" applyNumberFormat="1" applyFont="1" applyBorder="1" applyAlignment="1">
      <alignment horizontal="right" vertical="center" wrapText="1"/>
    </xf>
    <xf numFmtId="177" fontId="64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178" fontId="2" fillId="0" borderId="11" xfId="0" applyNumberFormat="1" applyFont="1" applyFill="1" applyBorder="1" applyAlignment="1">
      <alignment horizontal="left" vertical="center" wrapText="1"/>
    </xf>
    <xf numFmtId="178" fontId="2" fillId="0" borderId="11" xfId="0" applyNumberFormat="1" applyFont="1" applyBorder="1" applyAlignment="1">
      <alignment horizontal="left" vertical="center" wrapText="1"/>
    </xf>
    <xf numFmtId="177" fontId="2" fillId="0" borderId="11" xfId="0" applyNumberFormat="1" applyFont="1" applyBorder="1" applyAlignment="1">
      <alignment horizontal="left" vertical="center" wrapText="1"/>
    </xf>
    <xf numFmtId="182" fontId="2" fillId="22" borderId="11" xfId="0" applyNumberFormat="1" applyFont="1" applyFill="1" applyBorder="1" applyAlignment="1">
      <alignment horizontal="right" vertical="center" wrapText="1"/>
    </xf>
    <xf numFmtId="182" fontId="54" fillId="0" borderId="11" xfId="0" applyNumberFormat="1" applyFont="1" applyFill="1" applyBorder="1" applyAlignment="1">
      <alignment horizontal="right" vertical="center" wrapText="1"/>
    </xf>
    <xf numFmtId="182" fontId="58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center" vertical="center" wrapText="1"/>
    </xf>
    <xf numFmtId="182" fontId="2" fillId="24" borderId="11" xfId="0" applyNumberFormat="1" applyFont="1" applyFill="1" applyBorder="1" applyAlignment="1">
      <alignment horizontal="center" vertical="center" wrapText="1"/>
    </xf>
    <xf numFmtId="182" fontId="54" fillId="0" borderId="11" xfId="0" applyNumberFormat="1" applyFont="1" applyBorder="1" applyAlignment="1">
      <alignment horizontal="right" vertical="center" wrapText="1"/>
    </xf>
    <xf numFmtId="182" fontId="58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15" fillId="0" borderId="11" xfId="0" applyNumberFormat="1" applyFont="1" applyBorder="1" applyAlignment="1">
      <alignment horizontal="center" vertical="center" wrapText="1"/>
    </xf>
    <xf numFmtId="182" fontId="55" fillId="0" borderId="11" xfId="0" applyNumberFormat="1" applyFont="1" applyBorder="1" applyAlignment="1">
      <alignment horizontal="right" vertical="center" wrapText="1"/>
    </xf>
    <xf numFmtId="182" fontId="59" fillId="0" borderId="11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182" fontId="2" fillId="0" borderId="13" xfId="0" applyNumberFormat="1" applyFont="1" applyBorder="1" applyAlignment="1">
      <alignment horizontal="right" vertical="center" wrapText="1"/>
    </xf>
    <xf numFmtId="182" fontId="54" fillId="0" borderId="13" xfId="0" applyNumberFormat="1" applyFont="1" applyBorder="1" applyAlignment="1">
      <alignment horizontal="right" vertical="center" wrapText="1"/>
    </xf>
    <xf numFmtId="182" fontId="58" fillId="0" borderId="13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82" fontId="6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vertical="center" wrapText="1"/>
    </xf>
    <xf numFmtId="182" fontId="56" fillId="0" borderId="11" xfId="0" applyNumberFormat="1" applyFont="1" applyFill="1" applyBorder="1" applyAlignment="1">
      <alignment horizontal="right" vertical="center" wrapText="1"/>
    </xf>
    <xf numFmtId="182" fontId="11" fillId="0" borderId="11" xfId="0" applyNumberFormat="1" applyFont="1" applyFill="1" applyBorder="1" applyAlignment="1">
      <alignment horizontal="right" vertical="center" wrapText="1"/>
    </xf>
    <xf numFmtId="182" fontId="56" fillId="0" borderId="11" xfId="0" applyNumberFormat="1" applyFont="1" applyBorder="1" applyAlignment="1">
      <alignment horizontal="right" vertical="center" wrapText="1"/>
    </xf>
    <xf numFmtId="182" fontId="60" fillId="0" borderId="11" xfId="0" applyNumberFormat="1" applyFont="1" applyBorder="1" applyAlignment="1">
      <alignment horizontal="right" vertical="center" wrapText="1"/>
    </xf>
    <xf numFmtId="182" fontId="11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2" fillId="22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182" fontId="2" fillId="6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6" fillId="0" borderId="11" xfId="0" applyNumberFormat="1" applyFont="1" applyBorder="1" applyAlignment="1">
      <alignment horizontal="center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182" fontId="25" fillId="0" borderId="13" xfId="0" applyNumberFormat="1" applyFont="1" applyFill="1" applyBorder="1" applyAlignment="1">
      <alignment horizontal="right" vertical="center" wrapText="1"/>
    </xf>
    <xf numFmtId="182" fontId="25" fillId="0" borderId="13" xfId="0" applyNumberFormat="1" applyFont="1" applyBorder="1" applyAlignment="1">
      <alignment horizontal="right" vertical="center" wrapText="1"/>
    </xf>
    <xf numFmtId="182" fontId="2" fillId="0" borderId="14" xfId="0" applyNumberFormat="1" applyFont="1" applyFill="1" applyBorder="1" applyAlignment="1">
      <alignment horizontal="right" vertical="center" wrapText="1"/>
    </xf>
    <xf numFmtId="182" fontId="0" fillId="0" borderId="14" xfId="0" applyNumberFormat="1" applyFont="1" applyFill="1" applyBorder="1" applyAlignment="1">
      <alignment horizontal="right" vertical="center" wrapText="1"/>
    </xf>
    <xf numFmtId="182" fontId="8" fillId="0" borderId="11" xfId="0" applyNumberFormat="1" applyFont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8" fillId="0" borderId="13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81" fontId="8" fillId="0" borderId="11" xfId="0" applyNumberFormat="1" applyFont="1" applyFill="1" applyBorder="1" applyAlignment="1">
      <alignment horizontal="right" vertical="center" wrapText="1"/>
    </xf>
    <xf numFmtId="181" fontId="7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5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6" xfId="0" applyFont="1" applyFill="1" applyBorder="1" applyAlignment="1">
      <alignment horizontal="center" vertical="top" wrapText="1"/>
    </xf>
    <xf numFmtId="177" fontId="2" fillId="22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82" fontId="2" fillId="24" borderId="11" xfId="0" applyNumberFormat="1" applyFont="1" applyFill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82" fontId="2" fillId="0" borderId="13" xfId="0" applyNumberFormat="1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177" fontId="2" fillId="0" borderId="13" xfId="0" applyNumberFormat="1" applyFont="1" applyFill="1" applyBorder="1" applyAlignment="1">
      <alignment horizontal="left" vertical="center" wrapText="1"/>
    </xf>
    <xf numFmtId="182" fontId="2" fillId="0" borderId="13" xfId="0" applyNumberFormat="1" applyFont="1" applyFill="1" applyBorder="1" applyAlignment="1">
      <alignment horizontal="right" vertical="center" wrapText="1"/>
    </xf>
    <xf numFmtId="182" fontId="11" fillId="0" borderId="11" xfId="0" applyNumberFormat="1" applyFont="1" applyFill="1" applyBorder="1" applyAlignment="1">
      <alignment horizontal="right"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right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177" fontId="21" fillId="0" borderId="13" xfId="0" applyNumberFormat="1" applyFont="1" applyFill="1" applyBorder="1" applyAlignment="1">
      <alignment horizontal="lef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77" fontId="0" fillId="0" borderId="13" xfId="0" applyNumberFormat="1" applyFont="1" applyFill="1" applyBorder="1" applyAlignment="1">
      <alignment horizontal="right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182" fontId="11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182" fontId="2" fillId="0" borderId="11" xfId="0" applyNumberFormat="1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horizontal="lef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7" fontId="0" fillId="0" borderId="13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177" fontId="11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177" fontId="2" fillId="0" borderId="13" xfId="0" applyNumberFormat="1" applyFont="1" applyFill="1" applyBorder="1" applyAlignment="1">
      <alignment horizontal="right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177" fontId="21" fillId="0" borderId="11" xfId="0" applyNumberFormat="1" applyFont="1" applyFill="1" applyBorder="1" applyAlignment="1">
      <alignment horizontal="left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177" fontId="21" fillId="0" borderId="13" xfId="0" applyNumberFormat="1" applyFont="1" applyBorder="1" applyAlignment="1">
      <alignment horizontal="left" vertical="center" wrapText="1"/>
    </xf>
    <xf numFmtId="177" fontId="2" fillId="0" borderId="11" xfId="0" applyNumberFormat="1" applyFont="1" applyBorder="1" applyAlignment="1">
      <alignment horizontal="lef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3" xfId="0" applyNumberFormat="1" applyFont="1" applyFill="1" applyBorder="1" applyAlignment="1">
      <alignment horizontal="center" vertical="center" wrapText="1"/>
    </xf>
    <xf numFmtId="0" fontId="8" fillId="24" borderId="15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82" fontId="0" fillId="0" borderId="13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6"/>
  <sheetViews>
    <sheetView view="pageBreakPreview" zoomScaleSheetLayoutView="100" zoomScalePageLayoutView="0" workbookViewId="0" topLeftCell="A160">
      <selection activeCell="K172" sqref="K172"/>
    </sheetView>
  </sheetViews>
  <sheetFormatPr defaultColWidth="9.00390625" defaultRowHeight="12.75"/>
  <cols>
    <col min="1" max="1" width="7.00390625" style="162" customWidth="1"/>
    <col min="2" max="2" width="63.00390625" style="105" customWidth="1"/>
    <col min="3" max="3" width="14.625" style="3" customWidth="1"/>
    <col min="4" max="5" width="11.125" style="0" customWidth="1"/>
    <col min="6" max="6" width="13.00390625" style="194" customWidth="1"/>
    <col min="7" max="9" width="13.875" style="0" customWidth="1"/>
    <col min="10" max="10" width="11.125" style="0" customWidth="1"/>
    <col min="11" max="11" width="47.125" style="69" customWidth="1"/>
    <col min="12" max="12" width="8.625" style="0" customWidth="1"/>
  </cols>
  <sheetData>
    <row r="1" spans="1:11" s="1" customFormat="1" ht="15.75">
      <c r="A1" s="162"/>
      <c r="B1" s="2"/>
      <c r="C1" s="107"/>
      <c r="F1" s="191"/>
      <c r="G1" s="82"/>
      <c r="H1" s="82"/>
      <c r="I1" s="82"/>
      <c r="J1" s="82"/>
      <c r="K1" s="83" t="s">
        <v>666</v>
      </c>
    </row>
    <row r="2" spans="1:11" s="1" customFormat="1" ht="15.75">
      <c r="A2" s="162"/>
      <c r="B2" s="81"/>
      <c r="C2" s="108"/>
      <c r="E2" s="82"/>
      <c r="F2" s="125"/>
      <c r="G2" s="82"/>
      <c r="H2" s="82"/>
      <c r="I2" s="82"/>
      <c r="J2" s="82"/>
      <c r="K2" s="83" t="s">
        <v>667</v>
      </c>
    </row>
    <row r="3" spans="1:11" s="1" customFormat="1" ht="15.75">
      <c r="A3" s="162"/>
      <c r="B3" s="81"/>
      <c r="C3" s="108"/>
      <c r="E3" s="68"/>
      <c r="F3" s="148"/>
      <c r="G3" s="68"/>
      <c r="H3" s="68"/>
      <c r="I3" s="68"/>
      <c r="J3" s="68"/>
      <c r="K3" s="105" t="s">
        <v>145</v>
      </c>
    </row>
    <row r="4" spans="1:11" s="1" customFormat="1" ht="15.75">
      <c r="A4" s="162"/>
      <c r="B4" s="81"/>
      <c r="C4" s="108"/>
      <c r="D4" s="161"/>
      <c r="E4" s="68"/>
      <c r="F4" s="148"/>
      <c r="G4" s="68"/>
      <c r="H4" s="68"/>
      <c r="I4" s="68"/>
      <c r="J4" s="68"/>
      <c r="K4" s="83" t="s">
        <v>342</v>
      </c>
    </row>
    <row r="5" spans="1:11" s="1" customFormat="1" ht="15.75">
      <c r="A5" s="162"/>
      <c r="B5" s="81"/>
      <c r="C5" s="108"/>
      <c r="E5" s="68"/>
      <c r="F5" s="148"/>
      <c r="G5" s="68"/>
      <c r="H5" s="68"/>
      <c r="I5" s="415" t="s">
        <v>669</v>
      </c>
      <c r="J5" s="415"/>
      <c r="K5" s="415"/>
    </row>
    <row r="6" spans="1:11" s="1" customFormat="1" ht="15.75">
      <c r="A6" s="162"/>
      <c r="B6" s="81"/>
      <c r="C6" s="108"/>
      <c r="D6" s="161"/>
      <c r="E6" s="68"/>
      <c r="F6" s="148"/>
      <c r="G6" s="68"/>
      <c r="H6" s="415" t="s">
        <v>670</v>
      </c>
      <c r="I6" s="415"/>
      <c r="J6" s="415"/>
      <c r="K6" s="415"/>
    </row>
    <row r="7" spans="1:11" s="1" customFormat="1" ht="15.75">
      <c r="A7" s="162"/>
      <c r="B7" s="81"/>
      <c r="C7" s="108"/>
      <c r="D7" s="161"/>
      <c r="E7" s="68"/>
      <c r="F7" s="148"/>
      <c r="G7" s="68"/>
      <c r="H7" s="415" t="s">
        <v>146</v>
      </c>
      <c r="I7" s="415"/>
      <c r="J7" s="415"/>
      <c r="K7" s="415"/>
    </row>
    <row r="8" spans="1:11" s="1" customFormat="1" ht="15.75">
      <c r="A8" s="162"/>
      <c r="B8" s="81"/>
      <c r="C8" s="108"/>
      <c r="D8" s="161"/>
      <c r="E8" s="68"/>
      <c r="F8" s="148"/>
      <c r="G8" s="68"/>
      <c r="H8" s="415" t="s">
        <v>147</v>
      </c>
      <c r="I8" s="415"/>
      <c r="J8" s="415"/>
      <c r="K8" s="415"/>
    </row>
    <row r="9" spans="1:11" s="1" customFormat="1" ht="15.75">
      <c r="A9" s="162"/>
      <c r="B9" s="81"/>
      <c r="C9" s="108"/>
      <c r="E9" s="68"/>
      <c r="F9" s="148"/>
      <c r="G9" s="68"/>
      <c r="H9" s="415" t="s">
        <v>148</v>
      </c>
      <c r="I9" s="415"/>
      <c r="J9" s="415"/>
      <c r="K9" s="415"/>
    </row>
    <row r="10" spans="1:11" s="1" customFormat="1" ht="15.75">
      <c r="A10" s="162"/>
      <c r="B10" s="81"/>
      <c r="C10" s="108"/>
      <c r="E10" s="68"/>
      <c r="F10" s="148"/>
      <c r="G10" s="68"/>
      <c r="H10" s="415" t="s">
        <v>670</v>
      </c>
      <c r="I10" s="415"/>
      <c r="J10" s="415"/>
      <c r="K10" s="415"/>
    </row>
    <row r="11" spans="1:11" s="1" customFormat="1" ht="15.75">
      <c r="A11" s="419" t="s">
        <v>156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</row>
    <row r="12" spans="1:11" s="1" customFormat="1" ht="15.75">
      <c r="A12" s="419" t="s">
        <v>286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</row>
    <row r="13" spans="1:11" s="1" customFormat="1" ht="15.75">
      <c r="A13" s="419" t="s">
        <v>362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</row>
    <row r="14" spans="1:11" s="1" customFormat="1" ht="15">
      <c r="A14" s="162"/>
      <c r="B14" s="2"/>
      <c r="C14" s="202"/>
      <c r="F14" s="191"/>
      <c r="K14" s="69"/>
    </row>
    <row r="15" spans="1:11" s="3" customFormat="1" ht="26.25" customHeight="1">
      <c r="A15" s="426" t="s">
        <v>285</v>
      </c>
      <c r="B15" s="416" t="s">
        <v>393</v>
      </c>
      <c r="C15" s="423" t="s">
        <v>392</v>
      </c>
      <c r="D15" s="424"/>
      <c r="E15" s="424"/>
      <c r="F15" s="424"/>
      <c r="G15" s="424"/>
      <c r="H15" s="424"/>
      <c r="I15" s="424"/>
      <c r="J15" s="425"/>
      <c r="K15" s="416" t="s">
        <v>288</v>
      </c>
    </row>
    <row r="16" spans="1:11" s="3" customFormat="1" ht="30.75" customHeight="1">
      <c r="A16" s="427"/>
      <c r="B16" s="417"/>
      <c r="C16" s="416" t="s">
        <v>287</v>
      </c>
      <c r="D16" s="4" t="s">
        <v>395</v>
      </c>
      <c r="E16" s="4" t="s">
        <v>396</v>
      </c>
      <c r="F16" s="192" t="s">
        <v>397</v>
      </c>
      <c r="G16" s="4" t="s">
        <v>280</v>
      </c>
      <c r="H16" s="4" t="s">
        <v>399</v>
      </c>
      <c r="I16" s="4" t="s">
        <v>400</v>
      </c>
      <c r="J16" s="4" t="s">
        <v>401</v>
      </c>
      <c r="K16" s="417"/>
    </row>
    <row r="17" spans="1:11" s="3" customFormat="1" ht="15.75" customHeight="1">
      <c r="A17" s="428"/>
      <c r="B17" s="418"/>
      <c r="C17" s="418"/>
      <c r="D17" s="4">
        <v>2014</v>
      </c>
      <c r="E17" s="4">
        <v>2015</v>
      </c>
      <c r="F17" s="192">
        <v>2016</v>
      </c>
      <c r="G17" s="4">
        <v>2017</v>
      </c>
      <c r="H17" s="4">
        <v>2018</v>
      </c>
      <c r="I17" s="4">
        <v>2019</v>
      </c>
      <c r="J17" s="4">
        <v>2020</v>
      </c>
      <c r="K17" s="418"/>
    </row>
    <row r="18" spans="1:11" s="23" customFormat="1" ht="30" customHeight="1">
      <c r="A18" s="163">
        <v>1</v>
      </c>
      <c r="B18" s="47" t="s">
        <v>326</v>
      </c>
      <c r="C18" s="296">
        <f>SUM(D18:J18)</f>
        <v>3660895.4176600007</v>
      </c>
      <c r="D18" s="112">
        <f aca="true" t="shared" si="0" ref="D18:J18">SUM(D19:D22)</f>
        <v>707299.138</v>
      </c>
      <c r="E18" s="200">
        <f t="shared" si="0"/>
        <v>713636.937</v>
      </c>
      <c r="F18" s="328">
        <f>SUM(F19:F22)</f>
        <v>702956.4426600001</v>
      </c>
      <c r="G18" s="296">
        <f t="shared" si="0"/>
        <v>250506.2</v>
      </c>
      <c r="H18" s="296">
        <f t="shared" si="0"/>
        <v>247799.30000000005</v>
      </c>
      <c r="I18" s="296">
        <f t="shared" si="0"/>
        <v>254631.09999999998</v>
      </c>
      <c r="J18" s="48">
        <f t="shared" si="0"/>
        <v>784066.3</v>
      </c>
      <c r="K18" s="70"/>
    </row>
    <row r="19" spans="1:12" s="25" customFormat="1" ht="15" customHeight="1">
      <c r="A19" s="104">
        <v>2</v>
      </c>
      <c r="B19" s="5" t="s">
        <v>289</v>
      </c>
      <c r="C19" s="308">
        <f>SUM(C25+C31)</f>
        <v>1981377.76066</v>
      </c>
      <c r="D19" s="111">
        <f>SUM(D25+D31)</f>
        <v>315595.163</v>
      </c>
      <c r="E19" s="111">
        <f aca="true" t="shared" si="1" ref="E19:F22">SUM(E25+E31)</f>
        <v>323285.155</v>
      </c>
      <c r="F19" s="299">
        <f t="shared" si="1"/>
        <v>238025.84266000005</v>
      </c>
      <c r="G19" s="299">
        <f aca="true" t="shared" si="2" ref="G19:J22">SUM(G25+G31)</f>
        <v>250506.2</v>
      </c>
      <c r="H19" s="299">
        <f t="shared" si="2"/>
        <v>247799.30000000005</v>
      </c>
      <c r="I19" s="299">
        <f t="shared" si="2"/>
        <v>254631.09999999998</v>
      </c>
      <c r="J19" s="52">
        <f t="shared" si="2"/>
        <v>351535</v>
      </c>
      <c r="K19" s="160"/>
      <c r="L19" s="119"/>
    </row>
    <row r="20" spans="1:12" s="25" customFormat="1" ht="15" customHeight="1">
      <c r="A20" s="104">
        <v>3</v>
      </c>
      <c r="B20" s="5" t="s">
        <v>290</v>
      </c>
      <c r="C20" s="308">
        <f>SUM(C26+C32)</f>
        <v>20310.906</v>
      </c>
      <c r="D20" s="111">
        <f aca="true" t="shared" si="3" ref="C20:D22">SUM(D26+D32)</f>
        <v>13957.775</v>
      </c>
      <c r="E20" s="111">
        <f>SUM(E26+E32)</f>
        <v>2441.431</v>
      </c>
      <c r="F20" s="299">
        <f t="shared" si="1"/>
        <v>3911.7</v>
      </c>
      <c r="G20" s="299">
        <f t="shared" si="2"/>
        <v>0</v>
      </c>
      <c r="H20" s="299">
        <f t="shared" si="2"/>
        <v>0</v>
      </c>
      <c r="I20" s="299">
        <f t="shared" si="2"/>
        <v>0</v>
      </c>
      <c r="J20" s="52">
        <f t="shared" si="2"/>
        <v>0</v>
      </c>
      <c r="K20" s="160"/>
      <c r="L20" s="119"/>
    </row>
    <row r="21" spans="1:12" s="25" customFormat="1" ht="15" customHeight="1">
      <c r="A21" s="104">
        <v>4</v>
      </c>
      <c r="B21" s="5" t="s">
        <v>291</v>
      </c>
      <c r="C21" s="308">
        <f t="shared" si="3"/>
        <v>1502609.351</v>
      </c>
      <c r="D21" s="111">
        <f>SUM(D27+D33)</f>
        <v>342548.8</v>
      </c>
      <c r="E21" s="111">
        <f>SUM(E27+E33)</f>
        <v>349910.351</v>
      </c>
      <c r="F21" s="299">
        <f>SUM(F27+F33)</f>
        <v>419318.9</v>
      </c>
      <c r="G21" s="299">
        <f t="shared" si="2"/>
        <v>0</v>
      </c>
      <c r="H21" s="299">
        <f t="shared" si="2"/>
        <v>0</v>
      </c>
      <c r="I21" s="299">
        <f t="shared" si="2"/>
        <v>0</v>
      </c>
      <c r="J21" s="52">
        <f t="shared" si="2"/>
        <v>390831.3</v>
      </c>
      <c r="K21" s="160"/>
      <c r="L21" s="119"/>
    </row>
    <row r="22" spans="1:12" s="25" customFormat="1" ht="15" customHeight="1">
      <c r="A22" s="104">
        <v>5</v>
      </c>
      <c r="B22" s="5" t="s">
        <v>292</v>
      </c>
      <c r="C22" s="308">
        <f t="shared" si="3"/>
        <v>156597.4</v>
      </c>
      <c r="D22" s="111">
        <f t="shared" si="3"/>
        <v>35197.4</v>
      </c>
      <c r="E22" s="111">
        <f t="shared" si="1"/>
        <v>38000</v>
      </c>
      <c r="F22" s="299">
        <f t="shared" si="1"/>
        <v>41700</v>
      </c>
      <c r="G22" s="299">
        <f t="shared" si="2"/>
        <v>0</v>
      </c>
      <c r="H22" s="299">
        <f t="shared" si="2"/>
        <v>0</v>
      </c>
      <c r="I22" s="299">
        <f t="shared" si="2"/>
        <v>0</v>
      </c>
      <c r="J22" s="52">
        <f t="shared" si="2"/>
        <v>41700</v>
      </c>
      <c r="K22" s="160"/>
      <c r="L22" s="119"/>
    </row>
    <row r="23" spans="1:11" s="25" customFormat="1" ht="15" customHeight="1">
      <c r="A23" s="104"/>
      <c r="B23" s="5"/>
      <c r="C23" s="331"/>
      <c r="D23" s="149"/>
      <c r="E23" s="149"/>
      <c r="F23" s="329"/>
      <c r="G23" s="300"/>
      <c r="H23" s="300"/>
      <c r="I23" s="300"/>
      <c r="J23" s="36"/>
      <c r="K23" s="71"/>
    </row>
    <row r="24" spans="1:11" s="27" customFormat="1" ht="30" customHeight="1">
      <c r="A24" s="164">
        <v>6</v>
      </c>
      <c r="B24" s="49" t="s">
        <v>307</v>
      </c>
      <c r="C24" s="301">
        <f>SUM(C25:C28)</f>
        <v>156310.855</v>
      </c>
      <c r="D24" s="150">
        <f aca="true" t="shared" si="4" ref="D24:J24">SUM(D25:D28)</f>
        <v>54205.854999999996</v>
      </c>
      <c r="E24" s="201">
        <f t="shared" si="4"/>
        <v>7500</v>
      </c>
      <c r="F24" s="330">
        <f t="shared" si="4"/>
        <v>10000</v>
      </c>
      <c r="G24" s="301">
        <f t="shared" si="4"/>
        <v>19505</v>
      </c>
      <c r="H24" s="301">
        <f t="shared" si="4"/>
        <v>15000</v>
      </c>
      <c r="I24" s="301">
        <f t="shared" si="4"/>
        <v>16100</v>
      </c>
      <c r="J24" s="50">
        <f t="shared" si="4"/>
        <v>34000</v>
      </c>
      <c r="K24" s="70"/>
    </row>
    <row r="25" spans="1:11" s="25" customFormat="1" ht="15" customHeight="1">
      <c r="A25" s="104">
        <v>7</v>
      </c>
      <c r="B25" s="5" t="s">
        <v>289</v>
      </c>
      <c r="C25" s="308">
        <f aca="true" t="shared" si="5" ref="C25:J25">SUM(C44+C152+C307+C332+C365+C420)</f>
        <v>108199.55500000001</v>
      </c>
      <c r="D25" s="116">
        <f t="shared" si="5"/>
        <v>6094.555</v>
      </c>
      <c r="E25" s="116">
        <f t="shared" si="5"/>
        <v>7500</v>
      </c>
      <c r="F25" s="299">
        <f t="shared" si="5"/>
        <v>10000</v>
      </c>
      <c r="G25" s="304">
        <f t="shared" si="5"/>
        <v>19505</v>
      </c>
      <c r="H25" s="304">
        <f t="shared" si="5"/>
        <v>15000</v>
      </c>
      <c r="I25" s="304">
        <f t="shared" si="5"/>
        <v>16100</v>
      </c>
      <c r="J25" s="15">
        <f t="shared" si="5"/>
        <v>34000</v>
      </c>
      <c r="K25" s="160"/>
    </row>
    <row r="26" spans="1:11" s="25" customFormat="1" ht="15" customHeight="1">
      <c r="A26" s="104">
        <v>8</v>
      </c>
      <c r="B26" s="5" t="s">
        <v>290</v>
      </c>
      <c r="C26" s="308">
        <f aca="true" t="shared" si="6" ref="C26:J26">SUM(C45+C366)</f>
        <v>12802.1</v>
      </c>
      <c r="D26" s="116">
        <f t="shared" si="6"/>
        <v>12802.1</v>
      </c>
      <c r="E26" s="116">
        <f t="shared" si="6"/>
        <v>0</v>
      </c>
      <c r="F26" s="299">
        <f t="shared" si="6"/>
        <v>0</v>
      </c>
      <c r="G26" s="304">
        <f t="shared" si="6"/>
        <v>0</v>
      </c>
      <c r="H26" s="304">
        <f t="shared" si="6"/>
        <v>0</v>
      </c>
      <c r="I26" s="304">
        <f t="shared" si="6"/>
        <v>0</v>
      </c>
      <c r="J26" s="15">
        <f t="shared" si="6"/>
        <v>0</v>
      </c>
      <c r="K26" s="160"/>
    </row>
    <row r="27" spans="1:11" s="25" customFormat="1" ht="15" customHeight="1">
      <c r="A27" s="104">
        <v>9</v>
      </c>
      <c r="B27" s="5" t="s">
        <v>291</v>
      </c>
      <c r="C27" s="308">
        <f aca="true" t="shared" si="7" ref="C27:J27">SUM(C46+C303+C367)</f>
        <v>35309.2</v>
      </c>
      <c r="D27" s="116">
        <f t="shared" si="7"/>
        <v>35309.2</v>
      </c>
      <c r="E27" s="116">
        <f t="shared" si="7"/>
        <v>0</v>
      </c>
      <c r="F27" s="299">
        <f t="shared" si="7"/>
        <v>0</v>
      </c>
      <c r="G27" s="304">
        <f t="shared" si="7"/>
        <v>0</v>
      </c>
      <c r="H27" s="304">
        <f t="shared" si="7"/>
        <v>0</v>
      </c>
      <c r="I27" s="304">
        <f t="shared" si="7"/>
        <v>0</v>
      </c>
      <c r="J27" s="15">
        <f t="shared" si="7"/>
        <v>0</v>
      </c>
      <c r="K27" s="160"/>
    </row>
    <row r="28" spans="1:11" s="25" customFormat="1" ht="15" customHeight="1">
      <c r="A28" s="104">
        <v>10</v>
      </c>
      <c r="B28" s="5" t="s">
        <v>292</v>
      </c>
      <c r="C28" s="308">
        <f>SUM(D28:J28)</f>
        <v>0</v>
      </c>
      <c r="D28" s="116">
        <f>SUM(D47)</f>
        <v>0</v>
      </c>
      <c r="E28" s="116">
        <f aca="true" t="shared" si="8" ref="E28:J28">SUM(E47)</f>
        <v>0</v>
      </c>
      <c r="F28" s="299">
        <f t="shared" si="8"/>
        <v>0</v>
      </c>
      <c r="G28" s="304">
        <f t="shared" si="8"/>
        <v>0</v>
      </c>
      <c r="H28" s="304">
        <f t="shared" si="8"/>
        <v>0</v>
      </c>
      <c r="I28" s="304">
        <f t="shared" si="8"/>
        <v>0</v>
      </c>
      <c r="J28" s="15">
        <f t="shared" si="8"/>
        <v>0</v>
      </c>
      <c r="K28" s="160"/>
    </row>
    <row r="29" spans="1:11" s="25" customFormat="1" ht="15" customHeight="1">
      <c r="A29" s="104"/>
      <c r="B29" s="5"/>
      <c r="C29" s="331"/>
      <c r="D29" s="149"/>
      <c r="E29" s="149"/>
      <c r="F29" s="329"/>
      <c r="G29" s="300"/>
      <c r="H29" s="300"/>
      <c r="I29" s="300"/>
      <c r="J29" s="36"/>
      <c r="K29" s="71"/>
    </row>
    <row r="30" spans="1:11" s="27" customFormat="1" ht="30" customHeight="1">
      <c r="A30" s="164">
        <v>11</v>
      </c>
      <c r="B30" s="49" t="s">
        <v>363</v>
      </c>
      <c r="C30" s="301">
        <f>SUM(C31:C34)</f>
        <v>3504584.56266</v>
      </c>
      <c r="D30" s="150">
        <f aca="true" t="shared" si="9" ref="D30:J30">SUM(D31:D34)</f>
        <v>653093.2829999999</v>
      </c>
      <c r="E30" s="150">
        <f t="shared" si="9"/>
        <v>706136.937</v>
      </c>
      <c r="F30" s="201">
        <f t="shared" si="9"/>
        <v>692956.4426600001</v>
      </c>
      <c r="G30" s="301">
        <f t="shared" si="9"/>
        <v>231001.2</v>
      </c>
      <c r="H30" s="301">
        <f t="shared" si="9"/>
        <v>232799.30000000005</v>
      </c>
      <c r="I30" s="301">
        <f t="shared" si="9"/>
        <v>238531.09999999998</v>
      </c>
      <c r="J30" s="50">
        <f t="shared" si="9"/>
        <v>750066.3</v>
      </c>
      <c r="K30" s="70"/>
    </row>
    <row r="31" spans="1:11" s="25" customFormat="1" ht="15" customHeight="1">
      <c r="A31" s="104">
        <v>12</v>
      </c>
      <c r="B31" s="5" t="s">
        <v>289</v>
      </c>
      <c r="C31" s="308">
        <f>SUM(D31:J31)</f>
        <v>1873178.20566</v>
      </c>
      <c r="D31" s="116">
        <f aca="true" t="shared" si="10" ref="D31:J31">SUM(D75+D184+D316+D338+D383+D426)</f>
        <v>309500.608</v>
      </c>
      <c r="E31" s="116">
        <f t="shared" si="10"/>
        <v>315785.155</v>
      </c>
      <c r="F31" s="111">
        <f t="shared" si="10"/>
        <v>228025.84266000005</v>
      </c>
      <c r="G31" s="304">
        <f t="shared" si="10"/>
        <v>231001.2</v>
      </c>
      <c r="H31" s="304">
        <f t="shared" si="10"/>
        <v>232799.30000000005</v>
      </c>
      <c r="I31" s="304">
        <f t="shared" si="10"/>
        <v>238531.09999999998</v>
      </c>
      <c r="J31" s="15">
        <f t="shared" si="10"/>
        <v>317535</v>
      </c>
      <c r="K31" s="160"/>
    </row>
    <row r="32" spans="1:11" s="25" customFormat="1" ht="15" customHeight="1">
      <c r="A32" s="104">
        <v>13</v>
      </c>
      <c r="B32" s="5" t="s">
        <v>290</v>
      </c>
      <c r="C32" s="308">
        <f>SUM(D32:J32)</f>
        <v>7508.806</v>
      </c>
      <c r="D32" s="116">
        <f aca="true" t="shared" si="11" ref="D32:J32">SUM(D76+D185+D339+D427)</f>
        <v>1155.675</v>
      </c>
      <c r="E32" s="116">
        <f t="shared" si="11"/>
        <v>2441.431</v>
      </c>
      <c r="F32" s="111">
        <f t="shared" si="11"/>
        <v>3911.7</v>
      </c>
      <c r="G32" s="304">
        <f t="shared" si="11"/>
        <v>0</v>
      </c>
      <c r="H32" s="304">
        <f t="shared" si="11"/>
        <v>0</v>
      </c>
      <c r="I32" s="304">
        <f t="shared" si="11"/>
        <v>0</v>
      </c>
      <c r="J32" s="15">
        <f t="shared" si="11"/>
        <v>0</v>
      </c>
      <c r="K32" s="160"/>
    </row>
    <row r="33" spans="1:12" s="25" customFormat="1" ht="15" customHeight="1">
      <c r="A33" s="104">
        <v>14</v>
      </c>
      <c r="B33" s="5" t="s">
        <v>291</v>
      </c>
      <c r="C33" s="308">
        <f>SUM(D33:J33)</f>
        <v>1467300.151</v>
      </c>
      <c r="D33" s="116">
        <f aca="true" t="shared" si="12" ref="D33:J33">SUM(D77+D186+D298+D340+D431)</f>
        <v>307239.6</v>
      </c>
      <c r="E33" s="116">
        <f t="shared" si="12"/>
        <v>349910.351</v>
      </c>
      <c r="F33" s="52">
        <f t="shared" si="12"/>
        <v>419318.9</v>
      </c>
      <c r="G33" s="304">
        <f t="shared" si="12"/>
        <v>0</v>
      </c>
      <c r="H33" s="304">
        <f t="shared" si="12"/>
        <v>0</v>
      </c>
      <c r="I33" s="304">
        <f t="shared" si="12"/>
        <v>0</v>
      </c>
      <c r="J33" s="15">
        <f t="shared" si="12"/>
        <v>390831.3</v>
      </c>
      <c r="K33" s="160"/>
      <c r="L33" s="88"/>
    </row>
    <row r="34" spans="1:11" s="25" customFormat="1" ht="15" customHeight="1">
      <c r="A34" s="104">
        <v>15</v>
      </c>
      <c r="B34" s="5" t="s">
        <v>292</v>
      </c>
      <c r="C34" s="308">
        <f>SUM(D34:J34)</f>
        <v>156597.4</v>
      </c>
      <c r="D34" s="116">
        <f aca="true" t="shared" si="13" ref="D34:J34">SUM(D78+D187)</f>
        <v>35197.4</v>
      </c>
      <c r="E34" s="116">
        <f t="shared" si="13"/>
        <v>38000</v>
      </c>
      <c r="F34" s="111">
        <f t="shared" si="13"/>
        <v>41700</v>
      </c>
      <c r="G34" s="304">
        <f t="shared" si="13"/>
        <v>0</v>
      </c>
      <c r="H34" s="304">
        <f t="shared" si="13"/>
        <v>0</v>
      </c>
      <c r="I34" s="304">
        <f t="shared" si="13"/>
        <v>0</v>
      </c>
      <c r="J34" s="15">
        <f t="shared" si="13"/>
        <v>41700</v>
      </c>
      <c r="K34" s="160"/>
    </row>
    <row r="35" spans="1:11" s="25" customFormat="1" ht="15" customHeight="1">
      <c r="A35" s="104"/>
      <c r="B35" s="24"/>
      <c r="C35" s="332"/>
      <c r="D35" s="151"/>
      <c r="E35" s="151"/>
      <c r="F35" s="193"/>
      <c r="G35" s="305"/>
      <c r="H35" s="305"/>
      <c r="I35" s="305"/>
      <c r="J35" s="26"/>
      <c r="K35" s="71"/>
    </row>
    <row r="36" spans="1:11" s="7" customFormat="1" ht="15" customHeight="1">
      <c r="A36" s="165"/>
      <c r="B36" s="429" t="s">
        <v>282</v>
      </c>
      <c r="C36" s="430"/>
      <c r="D36" s="430"/>
      <c r="E36" s="430"/>
      <c r="F36" s="430"/>
      <c r="G36" s="430"/>
      <c r="H36" s="430"/>
      <c r="I36" s="430"/>
      <c r="J36" s="430"/>
      <c r="K36" s="431"/>
    </row>
    <row r="37" spans="1:11" s="39" customFormat="1" ht="33" customHeight="1">
      <c r="A37" s="103">
        <v>16</v>
      </c>
      <c r="B37" s="43" t="s">
        <v>296</v>
      </c>
      <c r="C37" s="309">
        <f>SUM(C38:C41)</f>
        <v>1436409.591</v>
      </c>
      <c r="D37" s="115">
        <f>SUM(D38:D41)</f>
        <v>286746.642</v>
      </c>
      <c r="E37" s="115">
        <f aca="true" t="shared" si="14" ref="E37:J37">SUM(E38:E41)</f>
        <v>313283.712</v>
      </c>
      <c r="F37" s="204">
        <f t="shared" si="14"/>
        <v>268895.537</v>
      </c>
      <c r="G37" s="308">
        <f t="shared" si="14"/>
        <v>90947.7</v>
      </c>
      <c r="H37" s="308">
        <f t="shared" si="14"/>
        <v>87830</v>
      </c>
      <c r="I37" s="308">
        <f t="shared" si="14"/>
        <v>88830</v>
      </c>
      <c r="J37" s="16">
        <f t="shared" si="14"/>
        <v>299876</v>
      </c>
      <c r="K37" s="72"/>
    </row>
    <row r="38" spans="1:11" s="8" customFormat="1" ht="15" customHeight="1">
      <c r="A38" s="103">
        <v>17</v>
      </c>
      <c r="B38" s="10" t="s">
        <v>289</v>
      </c>
      <c r="C38" s="309">
        <f>SUM(D38:J38)</f>
        <v>727482.491</v>
      </c>
      <c r="D38" s="116">
        <f aca="true" t="shared" si="15" ref="D38:J38">SUM(D44+D75)</f>
        <v>108807.342</v>
      </c>
      <c r="E38" s="116">
        <f t="shared" si="15"/>
        <v>144100.712</v>
      </c>
      <c r="F38" s="299">
        <f t="shared" si="15"/>
        <v>79206.73700000001</v>
      </c>
      <c r="G38" s="304">
        <f t="shared" si="15"/>
        <v>90947.7</v>
      </c>
      <c r="H38" s="304">
        <f t="shared" si="15"/>
        <v>87830</v>
      </c>
      <c r="I38" s="304">
        <f t="shared" si="15"/>
        <v>88830</v>
      </c>
      <c r="J38" s="15">
        <f t="shared" si="15"/>
        <v>127760</v>
      </c>
      <c r="K38" s="73"/>
    </row>
    <row r="39" spans="1:11" s="8" customFormat="1" ht="15" customHeight="1">
      <c r="A39" s="103">
        <v>18</v>
      </c>
      <c r="B39" s="10" t="s">
        <v>290</v>
      </c>
      <c r="C39" s="309">
        <f>SUM(D39:J39)</f>
        <v>12802.1</v>
      </c>
      <c r="D39" s="111">
        <f>SUM(D45)</f>
        <v>12802.1</v>
      </c>
      <c r="E39" s="116">
        <f aca="true" t="shared" si="16" ref="E39:J39">SUM(E45)</f>
        <v>0</v>
      </c>
      <c r="F39" s="299">
        <f t="shared" si="16"/>
        <v>0</v>
      </c>
      <c r="G39" s="304">
        <f t="shared" si="16"/>
        <v>0</v>
      </c>
      <c r="H39" s="304">
        <f t="shared" si="16"/>
        <v>0</v>
      </c>
      <c r="I39" s="304">
        <f t="shared" si="16"/>
        <v>0</v>
      </c>
      <c r="J39" s="15">
        <f t="shared" si="16"/>
        <v>0</v>
      </c>
      <c r="K39" s="73"/>
    </row>
    <row r="40" spans="1:11" s="8" customFormat="1" ht="15" customHeight="1">
      <c r="A40" s="103">
        <v>19</v>
      </c>
      <c r="B40" s="10" t="s">
        <v>291</v>
      </c>
      <c r="C40" s="309">
        <f>SUM(D40:J40)</f>
        <v>547125</v>
      </c>
      <c r="D40" s="116">
        <f aca="true" t="shared" si="17" ref="D40:J40">SUM(D46+D77)</f>
        <v>134137.2</v>
      </c>
      <c r="E40" s="116">
        <f t="shared" si="17"/>
        <v>131183</v>
      </c>
      <c r="F40" s="299">
        <f t="shared" si="17"/>
        <v>149688.8</v>
      </c>
      <c r="G40" s="304">
        <f t="shared" si="17"/>
        <v>0</v>
      </c>
      <c r="H40" s="304">
        <f t="shared" si="17"/>
        <v>0</v>
      </c>
      <c r="I40" s="304">
        <f t="shared" si="17"/>
        <v>0</v>
      </c>
      <c r="J40" s="15">
        <f t="shared" si="17"/>
        <v>132116</v>
      </c>
      <c r="K40" s="73"/>
    </row>
    <row r="41" spans="1:11" s="8" customFormat="1" ht="15" customHeight="1">
      <c r="A41" s="103">
        <v>20</v>
      </c>
      <c r="B41" s="10" t="s">
        <v>292</v>
      </c>
      <c r="C41" s="309">
        <f>SUM(D41:J41)</f>
        <v>149000</v>
      </c>
      <c r="D41" s="116">
        <f>SUM(D78)</f>
        <v>31000</v>
      </c>
      <c r="E41" s="116">
        <f aca="true" t="shared" si="18" ref="E41:J41">SUM(E78)</f>
        <v>38000</v>
      </c>
      <c r="F41" s="299">
        <f t="shared" si="18"/>
        <v>40000</v>
      </c>
      <c r="G41" s="304">
        <f t="shared" si="18"/>
        <v>0</v>
      </c>
      <c r="H41" s="304">
        <f t="shared" si="18"/>
        <v>0</v>
      </c>
      <c r="I41" s="304">
        <f t="shared" si="18"/>
        <v>0</v>
      </c>
      <c r="J41" s="15">
        <f t="shared" si="18"/>
        <v>40000</v>
      </c>
      <c r="K41" s="73"/>
    </row>
    <row r="42" spans="1:11" s="8" customFormat="1" ht="15" customHeight="1">
      <c r="A42" s="166"/>
      <c r="B42" s="432" t="s">
        <v>293</v>
      </c>
      <c r="C42" s="433"/>
      <c r="D42" s="433"/>
      <c r="E42" s="433"/>
      <c r="F42" s="433"/>
      <c r="G42" s="433"/>
      <c r="H42" s="433"/>
      <c r="I42" s="433"/>
      <c r="J42" s="433"/>
      <c r="K42" s="434"/>
    </row>
    <row r="43" spans="1:12" s="39" customFormat="1" ht="31.5" customHeight="1">
      <c r="A43" s="103">
        <v>21</v>
      </c>
      <c r="B43" s="43" t="s">
        <v>571</v>
      </c>
      <c r="C43" s="309">
        <f>SUM(D43:J43)</f>
        <v>57099.123</v>
      </c>
      <c r="D43" s="115">
        <f>SUM(D44:D47)</f>
        <v>49099.123</v>
      </c>
      <c r="E43" s="115">
        <f aca="true" t="shared" si="19" ref="E43:J43">SUM(E44:E47)</f>
        <v>0</v>
      </c>
      <c r="F43" s="204">
        <f t="shared" si="19"/>
        <v>0</v>
      </c>
      <c r="G43" s="308">
        <f t="shared" si="19"/>
        <v>8000</v>
      </c>
      <c r="H43" s="308">
        <f t="shared" si="19"/>
        <v>0</v>
      </c>
      <c r="I43" s="308">
        <f t="shared" si="19"/>
        <v>0</v>
      </c>
      <c r="J43" s="16">
        <f t="shared" si="19"/>
        <v>0</v>
      </c>
      <c r="K43" s="74"/>
      <c r="L43" s="113"/>
    </row>
    <row r="44" spans="1:11" s="8" customFormat="1" ht="15" customHeight="1">
      <c r="A44" s="103">
        <v>22</v>
      </c>
      <c r="B44" s="10" t="s">
        <v>289</v>
      </c>
      <c r="C44" s="309">
        <f>SUM(D44:J44)</f>
        <v>9737.823</v>
      </c>
      <c r="D44" s="116">
        <f aca="true" t="shared" si="20" ref="D44:J44">SUM(D50+D68)</f>
        <v>1737.823</v>
      </c>
      <c r="E44" s="116">
        <f t="shared" si="20"/>
        <v>0</v>
      </c>
      <c r="F44" s="299">
        <f t="shared" si="20"/>
        <v>0</v>
      </c>
      <c r="G44" s="304">
        <f t="shared" si="20"/>
        <v>8000</v>
      </c>
      <c r="H44" s="304">
        <f t="shared" si="20"/>
        <v>0</v>
      </c>
      <c r="I44" s="304">
        <f t="shared" si="20"/>
        <v>0</v>
      </c>
      <c r="J44" s="15">
        <f t="shared" si="20"/>
        <v>0</v>
      </c>
      <c r="K44" s="73"/>
    </row>
    <row r="45" spans="1:11" s="8" customFormat="1" ht="15" customHeight="1">
      <c r="A45" s="103">
        <v>23</v>
      </c>
      <c r="B45" s="10" t="s">
        <v>290</v>
      </c>
      <c r="C45" s="309">
        <f>SUM(D45:J45)</f>
        <v>12802.1</v>
      </c>
      <c r="D45" s="111">
        <f>SUM(D51)</f>
        <v>12802.1</v>
      </c>
      <c r="E45" s="116">
        <f aca="true" t="shared" si="21" ref="E45:J45">SUM(E51)</f>
        <v>0</v>
      </c>
      <c r="F45" s="299">
        <f t="shared" si="21"/>
        <v>0</v>
      </c>
      <c r="G45" s="304">
        <f t="shared" si="21"/>
        <v>0</v>
      </c>
      <c r="H45" s="304">
        <f t="shared" si="21"/>
        <v>0</v>
      </c>
      <c r="I45" s="304">
        <f t="shared" si="21"/>
        <v>0</v>
      </c>
      <c r="J45" s="15">
        <f t="shared" si="21"/>
        <v>0</v>
      </c>
      <c r="K45" s="73"/>
    </row>
    <row r="46" spans="1:11" s="8" customFormat="1" ht="15" customHeight="1">
      <c r="A46" s="103">
        <v>24</v>
      </c>
      <c r="B46" s="10" t="s">
        <v>291</v>
      </c>
      <c r="C46" s="309">
        <f>SUM(D46:J46)</f>
        <v>34559.2</v>
      </c>
      <c r="D46" s="116">
        <f aca="true" t="shared" si="22" ref="D46:J46">SUM(D52+D70)</f>
        <v>34559.2</v>
      </c>
      <c r="E46" s="116">
        <f t="shared" si="22"/>
        <v>0</v>
      </c>
      <c r="F46" s="299">
        <f t="shared" si="22"/>
        <v>0</v>
      </c>
      <c r="G46" s="304">
        <f t="shared" si="22"/>
        <v>0</v>
      </c>
      <c r="H46" s="304">
        <f t="shared" si="22"/>
        <v>0</v>
      </c>
      <c r="I46" s="304">
        <f t="shared" si="22"/>
        <v>0</v>
      </c>
      <c r="J46" s="15">
        <f t="shared" si="22"/>
        <v>0</v>
      </c>
      <c r="K46" s="73"/>
    </row>
    <row r="47" spans="1:11" s="8" customFormat="1" ht="15" customHeight="1">
      <c r="A47" s="103">
        <v>25</v>
      </c>
      <c r="B47" s="10" t="s">
        <v>292</v>
      </c>
      <c r="C47" s="309">
        <f>SUM(D47:J47)</f>
        <v>0</v>
      </c>
      <c r="D47" s="116"/>
      <c r="E47" s="15"/>
      <c r="F47" s="299"/>
      <c r="G47" s="304"/>
      <c r="H47" s="304"/>
      <c r="I47" s="304"/>
      <c r="J47" s="15"/>
      <c r="K47" s="73"/>
    </row>
    <row r="48" spans="1:11" s="8" customFormat="1" ht="15" customHeight="1">
      <c r="A48" s="167"/>
      <c r="B48" s="420" t="s">
        <v>294</v>
      </c>
      <c r="C48" s="421"/>
      <c r="D48" s="421"/>
      <c r="E48" s="421"/>
      <c r="F48" s="421"/>
      <c r="G48" s="421"/>
      <c r="H48" s="421"/>
      <c r="I48" s="421"/>
      <c r="J48" s="421"/>
      <c r="K48" s="422"/>
    </row>
    <row r="49" spans="1:11" s="39" customFormat="1" ht="45.75" customHeight="1">
      <c r="A49" s="103">
        <v>26</v>
      </c>
      <c r="B49" s="43" t="s">
        <v>572</v>
      </c>
      <c r="C49" s="309">
        <f>SUM(C50:C53)</f>
        <v>57099.123</v>
      </c>
      <c r="D49" s="97">
        <f aca="true" t="shared" si="23" ref="D49:J49">SUM(D50:D53)</f>
        <v>49099.123</v>
      </c>
      <c r="E49" s="97">
        <f t="shared" si="23"/>
        <v>0</v>
      </c>
      <c r="F49" s="318">
        <f t="shared" si="23"/>
        <v>0</v>
      </c>
      <c r="G49" s="309">
        <f t="shared" si="23"/>
        <v>8000</v>
      </c>
      <c r="H49" s="309">
        <f t="shared" si="23"/>
        <v>0</v>
      </c>
      <c r="I49" s="309">
        <f t="shared" si="23"/>
        <v>0</v>
      </c>
      <c r="J49" s="18">
        <f t="shared" si="23"/>
        <v>0</v>
      </c>
      <c r="K49" s="73"/>
    </row>
    <row r="50" spans="1:11" s="8" customFormat="1" ht="15" customHeight="1">
      <c r="A50" s="103">
        <v>27</v>
      </c>
      <c r="B50" s="10" t="s">
        <v>289</v>
      </c>
      <c r="C50" s="309">
        <f>SUM(D50:J50)</f>
        <v>9737.823</v>
      </c>
      <c r="D50" s="152">
        <f aca="true" t="shared" si="24" ref="D50:J50">SUM(D56+D62)</f>
        <v>1737.823</v>
      </c>
      <c r="E50" s="152">
        <f t="shared" si="24"/>
        <v>0</v>
      </c>
      <c r="F50" s="312">
        <f t="shared" si="24"/>
        <v>0</v>
      </c>
      <c r="G50" s="312">
        <f t="shared" si="24"/>
        <v>8000</v>
      </c>
      <c r="H50" s="312">
        <f t="shared" si="24"/>
        <v>0</v>
      </c>
      <c r="I50" s="312">
        <f t="shared" si="24"/>
        <v>0</v>
      </c>
      <c r="J50" s="17">
        <f t="shared" si="24"/>
        <v>0</v>
      </c>
      <c r="K50" s="73"/>
    </row>
    <row r="51" spans="1:11" s="8" customFormat="1" ht="15" customHeight="1">
      <c r="A51" s="103">
        <v>28</v>
      </c>
      <c r="B51" s="10" t="s">
        <v>290</v>
      </c>
      <c r="C51" s="309">
        <f>SUM(D51:J51)</f>
        <v>12802.1</v>
      </c>
      <c r="D51" s="152">
        <f>SUM(D57)</f>
        <v>12802.1</v>
      </c>
      <c r="E51" s="152">
        <f>SUM(E57)</f>
        <v>0</v>
      </c>
      <c r="F51" s="333"/>
      <c r="G51" s="312"/>
      <c r="H51" s="312"/>
      <c r="I51" s="312"/>
      <c r="J51" s="17"/>
      <c r="K51" s="73"/>
    </row>
    <row r="52" spans="1:11" s="8" customFormat="1" ht="15" customHeight="1">
      <c r="A52" s="103">
        <v>29</v>
      </c>
      <c r="B52" s="10" t="s">
        <v>291</v>
      </c>
      <c r="C52" s="309">
        <f>SUM(D52:J52)</f>
        <v>34559.2</v>
      </c>
      <c r="D52" s="152">
        <f>SUM(D58)</f>
        <v>34559.2</v>
      </c>
      <c r="E52" s="152">
        <f>SUM(E58)</f>
        <v>0</v>
      </c>
      <c r="F52" s="333"/>
      <c r="G52" s="312"/>
      <c r="H52" s="312"/>
      <c r="I52" s="312"/>
      <c r="J52" s="17"/>
      <c r="K52" s="73"/>
    </row>
    <row r="53" spans="1:11" s="8" customFormat="1" ht="15" customHeight="1">
      <c r="A53" s="103">
        <v>30</v>
      </c>
      <c r="B53" s="10" t="s">
        <v>292</v>
      </c>
      <c r="C53" s="309">
        <f>SUM(D53:J53)</f>
        <v>0</v>
      </c>
      <c r="D53" s="111">
        <v>0</v>
      </c>
      <c r="E53" s="116">
        <v>0</v>
      </c>
      <c r="F53" s="299"/>
      <c r="G53" s="304"/>
      <c r="H53" s="304"/>
      <c r="I53" s="304"/>
      <c r="J53" s="15"/>
      <c r="K53" s="73"/>
    </row>
    <row r="54" spans="1:11" s="8" customFormat="1" ht="15" customHeight="1">
      <c r="A54" s="103"/>
      <c r="B54" s="10"/>
      <c r="C54" s="309"/>
      <c r="D54" s="158"/>
      <c r="E54" s="152"/>
      <c r="F54" s="333"/>
      <c r="G54" s="312"/>
      <c r="H54" s="312"/>
      <c r="I54" s="312"/>
      <c r="J54" s="17"/>
      <c r="K54" s="73"/>
    </row>
    <row r="55" spans="1:11" s="8" customFormat="1" ht="50.25" customHeight="1">
      <c r="A55" s="103">
        <v>31</v>
      </c>
      <c r="B55" s="43" t="s">
        <v>576</v>
      </c>
      <c r="C55" s="309">
        <f>SUM(C56:C59)</f>
        <v>49099.123</v>
      </c>
      <c r="D55" s="97">
        <f aca="true" t="shared" si="25" ref="D55:J55">SUM(D56:D59)</f>
        <v>49099.123</v>
      </c>
      <c r="E55" s="97">
        <f t="shared" si="25"/>
        <v>0</v>
      </c>
      <c r="F55" s="318">
        <f t="shared" si="25"/>
        <v>0</v>
      </c>
      <c r="G55" s="309">
        <f t="shared" si="25"/>
        <v>0</v>
      </c>
      <c r="H55" s="309">
        <f t="shared" si="25"/>
        <v>0</v>
      </c>
      <c r="I55" s="309">
        <f t="shared" si="25"/>
        <v>0</v>
      </c>
      <c r="J55" s="18">
        <f t="shared" si="25"/>
        <v>0</v>
      </c>
      <c r="K55" s="73" t="s">
        <v>10</v>
      </c>
    </row>
    <row r="56" spans="1:11" s="8" customFormat="1" ht="15" customHeight="1">
      <c r="A56" s="103">
        <v>32</v>
      </c>
      <c r="B56" s="10" t="s">
        <v>289</v>
      </c>
      <c r="C56" s="309">
        <f>SUM(D56:J56)</f>
        <v>1737.823</v>
      </c>
      <c r="D56" s="111">
        <v>1737.823</v>
      </c>
      <c r="E56" s="116"/>
      <c r="F56" s="299"/>
      <c r="G56" s="304"/>
      <c r="H56" s="304"/>
      <c r="I56" s="304"/>
      <c r="J56" s="15"/>
      <c r="K56" s="73"/>
    </row>
    <row r="57" spans="1:11" s="8" customFormat="1" ht="15" customHeight="1">
      <c r="A57" s="103">
        <v>33</v>
      </c>
      <c r="B57" s="10" t="s">
        <v>290</v>
      </c>
      <c r="C57" s="309">
        <f>SUM(D57:J57)</f>
        <v>12802.1</v>
      </c>
      <c r="D57" s="111">
        <v>12802.1</v>
      </c>
      <c r="E57" s="116"/>
      <c r="F57" s="299"/>
      <c r="G57" s="304"/>
      <c r="H57" s="304"/>
      <c r="I57" s="304"/>
      <c r="J57" s="15"/>
      <c r="K57" s="73"/>
    </row>
    <row r="58" spans="1:11" s="8" customFormat="1" ht="15" customHeight="1">
      <c r="A58" s="103">
        <v>34</v>
      </c>
      <c r="B58" s="10" t="s">
        <v>291</v>
      </c>
      <c r="C58" s="309">
        <f>SUM(D58:J58)</f>
        <v>34559.2</v>
      </c>
      <c r="D58" s="111">
        <v>34559.2</v>
      </c>
      <c r="E58" s="116"/>
      <c r="F58" s="299"/>
      <c r="G58" s="304"/>
      <c r="H58" s="304"/>
      <c r="I58" s="304"/>
      <c r="J58" s="15"/>
      <c r="K58" s="73"/>
    </row>
    <row r="59" spans="1:11" s="8" customFormat="1" ht="15" customHeight="1">
      <c r="A59" s="103">
        <v>35</v>
      </c>
      <c r="B59" s="10" t="s">
        <v>292</v>
      </c>
      <c r="C59" s="309">
        <f>SUM(D59:J59)</f>
        <v>0</v>
      </c>
      <c r="D59" s="111">
        <v>0</v>
      </c>
      <c r="E59" s="116"/>
      <c r="F59" s="299"/>
      <c r="G59" s="304"/>
      <c r="H59" s="304"/>
      <c r="I59" s="304"/>
      <c r="J59" s="15"/>
      <c r="K59" s="73"/>
    </row>
    <row r="60" spans="1:11" s="8" customFormat="1" ht="15" customHeight="1">
      <c r="A60" s="103"/>
      <c r="B60" s="10"/>
      <c r="C60" s="309"/>
      <c r="D60" s="111"/>
      <c r="E60" s="152"/>
      <c r="F60" s="333"/>
      <c r="G60" s="312"/>
      <c r="H60" s="312"/>
      <c r="I60" s="312"/>
      <c r="J60" s="17"/>
      <c r="K60" s="73"/>
    </row>
    <row r="61" spans="1:11" s="8" customFormat="1" ht="50.25" customHeight="1">
      <c r="A61" s="103" t="s">
        <v>116</v>
      </c>
      <c r="B61" s="344" t="s">
        <v>155</v>
      </c>
      <c r="C61" s="309">
        <f>SUM(D61:J61)</f>
        <v>8000</v>
      </c>
      <c r="D61" s="97">
        <f>SUM(D62)</f>
        <v>0</v>
      </c>
      <c r="E61" s="97">
        <f aca="true" t="shared" si="26" ref="E61:J61">SUM(E62)</f>
        <v>0</v>
      </c>
      <c r="F61" s="309">
        <f>SUM(F62)</f>
        <v>0</v>
      </c>
      <c r="G61" s="309">
        <f t="shared" si="26"/>
        <v>8000</v>
      </c>
      <c r="H61" s="309">
        <f t="shared" si="26"/>
        <v>0</v>
      </c>
      <c r="I61" s="309">
        <f t="shared" si="26"/>
        <v>0</v>
      </c>
      <c r="J61" s="18">
        <f t="shared" si="26"/>
        <v>0</v>
      </c>
      <c r="K61" s="73" t="s">
        <v>158</v>
      </c>
    </row>
    <row r="62" spans="1:11" s="8" customFormat="1" ht="15" customHeight="1">
      <c r="A62" s="103" t="s">
        <v>117</v>
      </c>
      <c r="B62" s="345" t="s">
        <v>289</v>
      </c>
      <c r="C62" s="309">
        <f>SUM(D62:J62)</f>
        <v>8000</v>
      </c>
      <c r="D62" s="111">
        <f>SUM(D64)</f>
        <v>0</v>
      </c>
      <c r="E62" s="111">
        <f aca="true" t="shared" si="27" ref="E62:J62">SUM(E64)</f>
        <v>0</v>
      </c>
      <c r="F62" s="299">
        <f t="shared" si="27"/>
        <v>0</v>
      </c>
      <c r="G62" s="299">
        <f t="shared" si="27"/>
        <v>8000</v>
      </c>
      <c r="H62" s="299">
        <f t="shared" si="27"/>
        <v>0</v>
      </c>
      <c r="I62" s="299">
        <f t="shared" si="27"/>
        <v>0</v>
      </c>
      <c r="J62" s="52">
        <f t="shared" si="27"/>
        <v>0</v>
      </c>
      <c r="K62" s="73"/>
    </row>
    <row r="63" spans="1:11" s="8" customFormat="1" ht="15" customHeight="1">
      <c r="A63" s="103"/>
      <c r="B63" s="345" t="s">
        <v>301</v>
      </c>
      <c r="C63" s="309"/>
      <c r="D63" s="111"/>
      <c r="E63" s="116"/>
      <c r="F63" s="299"/>
      <c r="G63" s="304"/>
      <c r="H63" s="304"/>
      <c r="I63" s="304"/>
      <c r="J63" s="15"/>
      <c r="K63" s="73"/>
    </row>
    <row r="64" spans="1:11" s="8" customFormat="1" ht="15" customHeight="1">
      <c r="A64" s="103" t="s">
        <v>118</v>
      </c>
      <c r="B64" s="345" t="s">
        <v>167</v>
      </c>
      <c r="C64" s="309">
        <f>SUM(D64:J64)</f>
        <v>8000</v>
      </c>
      <c r="D64" s="111"/>
      <c r="E64" s="116"/>
      <c r="F64" s="299"/>
      <c r="G64" s="304">
        <f>8000</f>
        <v>8000</v>
      </c>
      <c r="H64" s="304"/>
      <c r="I64" s="304"/>
      <c r="J64" s="15"/>
      <c r="K64" s="73"/>
    </row>
    <row r="65" spans="1:11" s="8" customFormat="1" ht="15" customHeight="1">
      <c r="A65" s="103"/>
      <c r="B65" s="10"/>
      <c r="C65" s="309"/>
      <c r="D65" s="111"/>
      <c r="E65" s="152"/>
      <c r="F65" s="333"/>
      <c r="G65" s="312"/>
      <c r="H65" s="312"/>
      <c r="I65" s="312"/>
      <c r="J65" s="17"/>
      <c r="K65" s="73"/>
    </row>
    <row r="66" spans="1:11" s="8" customFormat="1" ht="15" customHeight="1">
      <c r="A66" s="167"/>
      <c r="B66" s="420" t="s">
        <v>305</v>
      </c>
      <c r="C66" s="421"/>
      <c r="D66" s="421"/>
      <c r="E66" s="421"/>
      <c r="F66" s="421"/>
      <c r="G66" s="421"/>
      <c r="H66" s="421"/>
      <c r="I66" s="421"/>
      <c r="J66" s="421"/>
      <c r="K66" s="422"/>
    </row>
    <row r="67" spans="1:11" s="41" customFormat="1" ht="31.5">
      <c r="A67" s="99" t="s">
        <v>119</v>
      </c>
      <c r="B67" s="46" t="s">
        <v>573</v>
      </c>
      <c r="C67" s="318">
        <f>SUM(C68:C71)</f>
        <v>0</v>
      </c>
      <c r="D67" s="114">
        <f aca="true" t="shared" si="28" ref="D67:J67">SUM(D69:D71)</f>
        <v>0</v>
      </c>
      <c r="E67" s="114">
        <f>SUM(E68:E71)</f>
        <v>0</v>
      </c>
      <c r="F67" s="204">
        <f>SUM(F68:F71)</f>
        <v>0</v>
      </c>
      <c r="G67" s="204">
        <f t="shared" si="28"/>
        <v>0</v>
      </c>
      <c r="H67" s="204">
        <f t="shared" si="28"/>
        <v>0</v>
      </c>
      <c r="I67" s="204">
        <f t="shared" si="28"/>
        <v>0</v>
      </c>
      <c r="J67" s="35">
        <f t="shared" si="28"/>
        <v>0</v>
      </c>
      <c r="K67" s="76"/>
    </row>
    <row r="68" spans="1:11" s="14" customFormat="1" ht="15" customHeight="1">
      <c r="A68" s="99" t="s">
        <v>120</v>
      </c>
      <c r="B68" s="10" t="s">
        <v>289</v>
      </c>
      <c r="C68" s="318">
        <f>SUM(D68:J68)</f>
        <v>0</v>
      </c>
      <c r="D68" s="121"/>
      <c r="E68" s="121"/>
      <c r="F68" s="314"/>
      <c r="G68" s="314"/>
      <c r="H68" s="314"/>
      <c r="I68" s="314"/>
      <c r="J68" s="29"/>
      <c r="K68" s="77"/>
    </row>
    <row r="69" spans="1:11" s="31" customFormat="1" ht="15" customHeight="1">
      <c r="A69" s="99" t="s">
        <v>121</v>
      </c>
      <c r="B69" s="10" t="s">
        <v>290</v>
      </c>
      <c r="C69" s="318">
        <f>SUM(D69:J69)</f>
        <v>0</v>
      </c>
      <c r="D69" s="95"/>
      <c r="E69" s="153"/>
      <c r="F69" s="320"/>
      <c r="G69" s="320"/>
      <c r="H69" s="320"/>
      <c r="I69" s="320"/>
      <c r="J69" s="30"/>
      <c r="K69" s="78"/>
    </row>
    <row r="70" spans="1:11" s="14" customFormat="1" ht="15" customHeight="1">
      <c r="A70" s="99" t="s">
        <v>122</v>
      </c>
      <c r="B70" s="10" t="s">
        <v>291</v>
      </c>
      <c r="C70" s="318">
        <f>SUM(D70:J70)</f>
        <v>0</v>
      </c>
      <c r="D70" s="121"/>
      <c r="E70" s="121"/>
      <c r="F70" s="314"/>
      <c r="G70" s="314"/>
      <c r="H70" s="314"/>
      <c r="I70" s="314"/>
      <c r="J70" s="29"/>
      <c r="K70" s="77"/>
    </row>
    <row r="71" spans="1:11" s="14" customFormat="1" ht="15" customHeight="1">
      <c r="A71" s="99" t="s">
        <v>123</v>
      </c>
      <c r="B71" s="10" t="s">
        <v>292</v>
      </c>
      <c r="C71" s="318">
        <f>SUM(D71:J71)</f>
        <v>0</v>
      </c>
      <c r="D71" s="121"/>
      <c r="E71" s="121"/>
      <c r="F71" s="314"/>
      <c r="G71" s="314"/>
      <c r="H71" s="314"/>
      <c r="I71" s="314"/>
      <c r="J71" s="29"/>
      <c r="K71" s="77"/>
    </row>
    <row r="72" spans="1:11" s="14" customFormat="1" ht="15" customHeight="1">
      <c r="A72" s="102"/>
      <c r="B72" s="10"/>
      <c r="C72" s="204"/>
      <c r="D72" s="121"/>
      <c r="E72" s="121"/>
      <c r="F72" s="314"/>
      <c r="G72" s="314"/>
      <c r="H72" s="314"/>
      <c r="I72" s="314"/>
      <c r="J72" s="29"/>
      <c r="K72" s="77"/>
    </row>
    <row r="73" spans="1:11" s="8" customFormat="1" ht="15" customHeight="1">
      <c r="A73" s="166"/>
      <c r="B73" s="432" t="s">
        <v>297</v>
      </c>
      <c r="C73" s="433"/>
      <c r="D73" s="433"/>
      <c r="E73" s="433"/>
      <c r="F73" s="433"/>
      <c r="G73" s="433"/>
      <c r="H73" s="433"/>
      <c r="I73" s="433"/>
      <c r="J73" s="433"/>
      <c r="K73" s="434"/>
    </row>
    <row r="74" spans="1:11" s="39" customFormat="1" ht="21.75" customHeight="1">
      <c r="A74" s="103" t="s">
        <v>124</v>
      </c>
      <c r="B74" s="43" t="s">
        <v>298</v>
      </c>
      <c r="C74" s="309">
        <f>SUM(C75:C78)</f>
        <v>1379310.468</v>
      </c>
      <c r="D74" s="97">
        <f aca="true" t="shared" si="29" ref="D74:J74">SUM(D75:D78)</f>
        <v>237647.519</v>
      </c>
      <c r="E74" s="120">
        <f t="shared" si="29"/>
        <v>313283.712</v>
      </c>
      <c r="F74" s="318">
        <f t="shared" si="29"/>
        <v>268895.537</v>
      </c>
      <c r="G74" s="309">
        <f t="shared" si="29"/>
        <v>82947.7</v>
      </c>
      <c r="H74" s="309">
        <f t="shared" si="29"/>
        <v>87830</v>
      </c>
      <c r="I74" s="309">
        <f t="shared" si="29"/>
        <v>88830</v>
      </c>
      <c r="J74" s="18">
        <f t="shared" si="29"/>
        <v>299876</v>
      </c>
      <c r="K74" s="72"/>
    </row>
    <row r="75" spans="1:11" s="8" customFormat="1" ht="15" customHeight="1">
      <c r="A75" s="103" t="s">
        <v>125</v>
      </c>
      <c r="B75" s="10" t="s">
        <v>289</v>
      </c>
      <c r="C75" s="309">
        <f>SUM(D75:J75)</f>
        <v>717744.6680000001</v>
      </c>
      <c r="D75" s="95">
        <f aca="true" t="shared" si="30" ref="D75:J75">SUM(D81+D92+D119+D124+D127)</f>
        <v>107069.519</v>
      </c>
      <c r="E75" s="95">
        <f t="shared" si="30"/>
        <v>144100.712</v>
      </c>
      <c r="F75" s="315">
        <f t="shared" si="30"/>
        <v>79206.73700000001</v>
      </c>
      <c r="G75" s="315">
        <f t="shared" si="30"/>
        <v>82947.7</v>
      </c>
      <c r="H75" s="315">
        <f t="shared" si="30"/>
        <v>87830</v>
      </c>
      <c r="I75" s="315">
        <f t="shared" si="30"/>
        <v>88830</v>
      </c>
      <c r="J75" s="34">
        <f t="shared" si="30"/>
        <v>127760</v>
      </c>
      <c r="K75" s="73"/>
    </row>
    <row r="76" spans="1:11" s="8" customFormat="1" ht="15" customHeight="1">
      <c r="A76" s="103" t="s">
        <v>126</v>
      </c>
      <c r="B76" s="10" t="s">
        <v>290</v>
      </c>
      <c r="C76" s="309">
        <f>SUM(D76:J76)</f>
        <v>0</v>
      </c>
      <c r="D76" s="95"/>
      <c r="E76" s="95"/>
      <c r="F76" s="315"/>
      <c r="G76" s="316"/>
      <c r="H76" s="316"/>
      <c r="I76" s="316"/>
      <c r="J76" s="22"/>
      <c r="K76" s="73"/>
    </row>
    <row r="77" spans="1:11" s="8" customFormat="1" ht="15" customHeight="1">
      <c r="A77" s="103" t="s">
        <v>127</v>
      </c>
      <c r="B77" s="10" t="s">
        <v>291</v>
      </c>
      <c r="C77" s="309">
        <f>SUM(D77:J77)</f>
        <v>512565.8</v>
      </c>
      <c r="D77" s="118">
        <f aca="true" t="shared" si="31" ref="D77:J77">SUM(D93+D116+D120+D128)</f>
        <v>99578</v>
      </c>
      <c r="E77" s="96">
        <f t="shared" si="31"/>
        <v>131183</v>
      </c>
      <c r="F77" s="325">
        <f t="shared" si="31"/>
        <v>149688.8</v>
      </c>
      <c r="G77" s="317">
        <f t="shared" si="31"/>
        <v>0</v>
      </c>
      <c r="H77" s="317">
        <f t="shared" si="31"/>
        <v>0</v>
      </c>
      <c r="I77" s="317">
        <f t="shared" si="31"/>
        <v>0</v>
      </c>
      <c r="J77" s="21">
        <f t="shared" si="31"/>
        <v>132116</v>
      </c>
      <c r="K77" s="79"/>
    </row>
    <row r="78" spans="1:11" s="8" customFormat="1" ht="15" customHeight="1">
      <c r="A78" s="103" t="s">
        <v>128</v>
      </c>
      <c r="B78" s="12" t="s">
        <v>292</v>
      </c>
      <c r="C78" s="309">
        <f>SUM(D78:J78)</f>
        <v>149000</v>
      </c>
      <c r="D78" s="95">
        <f>SUM(D121)</f>
        <v>31000</v>
      </c>
      <c r="E78" s="95">
        <f aca="true" t="shared" si="32" ref="E78:J78">SUM(E121)</f>
        <v>38000</v>
      </c>
      <c r="F78" s="315">
        <f t="shared" si="32"/>
        <v>40000</v>
      </c>
      <c r="G78" s="316">
        <f t="shared" si="32"/>
        <v>0</v>
      </c>
      <c r="H78" s="316">
        <f t="shared" si="32"/>
        <v>0</v>
      </c>
      <c r="I78" s="316">
        <f t="shared" si="32"/>
        <v>0</v>
      </c>
      <c r="J78" s="22">
        <f t="shared" si="32"/>
        <v>40000</v>
      </c>
      <c r="K78" s="73"/>
    </row>
    <row r="79" spans="1:11" s="8" customFormat="1" ht="15" customHeight="1">
      <c r="A79" s="103"/>
      <c r="B79" s="12"/>
      <c r="C79" s="309"/>
      <c r="D79" s="96"/>
      <c r="E79" s="96"/>
      <c r="F79" s="325"/>
      <c r="G79" s="317"/>
      <c r="H79" s="317"/>
      <c r="I79" s="317"/>
      <c r="J79" s="21"/>
      <c r="K79" s="73"/>
    </row>
    <row r="80" spans="1:11" s="41" customFormat="1" ht="50.25" customHeight="1">
      <c r="A80" s="99" t="s">
        <v>129</v>
      </c>
      <c r="B80" s="46" t="s">
        <v>577</v>
      </c>
      <c r="C80" s="318">
        <f>SUM(C81)</f>
        <v>8250</v>
      </c>
      <c r="D80" s="120">
        <f aca="true" t="shared" si="33" ref="D80:J80">SUM(D83:D89)</f>
        <v>0</v>
      </c>
      <c r="E80" s="120">
        <f t="shared" si="33"/>
        <v>250</v>
      </c>
      <c r="F80" s="318">
        <f t="shared" si="33"/>
        <v>0</v>
      </c>
      <c r="G80" s="318">
        <f t="shared" si="33"/>
        <v>0</v>
      </c>
      <c r="H80" s="318">
        <f t="shared" si="33"/>
        <v>2000</v>
      </c>
      <c r="I80" s="318">
        <f>SUM(I83:I89)</f>
        <v>2000</v>
      </c>
      <c r="J80" s="40">
        <f t="shared" si="33"/>
        <v>4000</v>
      </c>
      <c r="K80" s="77" t="s">
        <v>11</v>
      </c>
    </row>
    <row r="81" spans="1:11" s="14" customFormat="1" ht="15" customHeight="1">
      <c r="A81" s="99" t="s">
        <v>130</v>
      </c>
      <c r="B81" s="28" t="s">
        <v>289</v>
      </c>
      <c r="C81" s="318">
        <f>SUM(C83:C89)</f>
        <v>8250</v>
      </c>
      <c r="D81" s="121">
        <f>SUM(D83:D88)</f>
        <v>0</v>
      </c>
      <c r="E81" s="121">
        <f aca="true" t="shared" si="34" ref="E81:J81">SUM(E83:E89)</f>
        <v>250</v>
      </c>
      <c r="F81" s="314">
        <f t="shared" si="34"/>
        <v>0</v>
      </c>
      <c r="G81" s="314">
        <f t="shared" si="34"/>
        <v>0</v>
      </c>
      <c r="H81" s="314">
        <f t="shared" si="34"/>
        <v>2000</v>
      </c>
      <c r="I81" s="314">
        <f>SUM(I83:I89)</f>
        <v>2000</v>
      </c>
      <c r="J81" s="29">
        <f t="shared" si="34"/>
        <v>4000</v>
      </c>
      <c r="K81" s="77"/>
    </row>
    <row r="82" spans="1:11" s="31" customFormat="1" ht="15" customHeight="1">
      <c r="A82" s="99"/>
      <c r="B82" s="32" t="s">
        <v>301</v>
      </c>
      <c r="C82" s="334"/>
      <c r="D82" s="153"/>
      <c r="E82" s="153"/>
      <c r="F82" s="320"/>
      <c r="G82" s="320"/>
      <c r="H82" s="320"/>
      <c r="I82" s="320"/>
      <c r="J82" s="30"/>
      <c r="K82" s="78"/>
    </row>
    <row r="83" spans="1:11" s="14" customFormat="1" ht="15" customHeight="1">
      <c r="A83" s="99" t="s">
        <v>131</v>
      </c>
      <c r="B83" s="32" t="s">
        <v>308</v>
      </c>
      <c r="C83" s="318">
        <f aca="true" t="shared" si="35" ref="C83:C89">SUM(D83:J83)</f>
        <v>2000</v>
      </c>
      <c r="D83" s="121"/>
      <c r="E83" s="121"/>
      <c r="F83" s="314"/>
      <c r="G83" s="314"/>
      <c r="H83" s="314">
        <f>2000</f>
        <v>2000</v>
      </c>
      <c r="I83" s="314"/>
      <c r="J83" s="29"/>
      <c r="K83" s="77"/>
    </row>
    <row r="84" spans="1:11" s="14" customFormat="1" ht="15" customHeight="1">
      <c r="A84" s="99" t="s">
        <v>132</v>
      </c>
      <c r="B84" s="32" t="s">
        <v>673</v>
      </c>
      <c r="C84" s="318">
        <f t="shared" si="35"/>
        <v>2000</v>
      </c>
      <c r="D84" s="121"/>
      <c r="E84" s="121"/>
      <c r="F84" s="314"/>
      <c r="G84" s="314"/>
      <c r="H84" s="314"/>
      <c r="I84" s="314">
        <f>2000</f>
        <v>2000</v>
      </c>
      <c r="J84" s="29"/>
      <c r="K84" s="77"/>
    </row>
    <row r="85" spans="1:11" s="14" customFormat="1" ht="15" customHeight="1">
      <c r="A85" s="99" t="s">
        <v>133</v>
      </c>
      <c r="B85" s="32" t="s">
        <v>364</v>
      </c>
      <c r="C85" s="318">
        <f t="shared" si="35"/>
        <v>0</v>
      </c>
      <c r="D85" s="121"/>
      <c r="E85" s="121"/>
      <c r="F85" s="314"/>
      <c r="G85" s="314"/>
      <c r="H85" s="314"/>
      <c r="I85" s="314"/>
      <c r="J85" s="29"/>
      <c r="K85" s="77"/>
    </row>
    <row r="86" spans="1:11" s="14" customFormat="1" ht="15" customHeight="1">
      <c r="A86" s="99" t="s">
        <v>134</v>
      </c>
      <c r="B86" s="32" t="s">
        <v>365</v>
      </c>
      <c r="C86" s="318">
        <f t="shared" si="35"/>
        <v>2000</v>
      </c>
      <c r="D86" s="121"/>
      <c r="E86" s="121"/>
      <c r="F86" s="314"/>
      <c r="G86" s="314"/>
      <c r="H86" s="314"/>
      <c r="I86" s="314"/>
      <c r="J86" s="29">
        <v>2000</v>
      </c>
      <c r="K86" s="77"/>
    </row>
    <row r="87" spans="1:11" s="14" customFormat="1" ht="15" customHeight="1">
      <c r="A87" s="99" t="s">
        <v>168</v>
      </c>
      <c r="B87" s="32" t="s">
        <v>366</v>
      </c>
      <c r="C87" s="318">
        <f t="shared" si="35"/>
        <v>0</v>
      </c>
      <c r="D87" s="121"/>
      <c r="E87" s="121"/>
      <c r="F87" s="314"/>
      <c r="G87" s="314"/>
      <c r="H87" s="314"/>
      <c r="I87" s="314"/>
      <c r="J87" s="29"/>
      <c r="K87" s="77"/>
    </row>
    <row r="88" spans="1:11" s="14" customFormat="1" ht="15" customHeight="1">
      <c r="A88" s="99" t="s">
        <v>135</v>
      </c>
      <c r="B88" s="32" t="s">
        <v>354</v>
      </c>
      <c r="C88" s="318">
        <f t="shared" si="35"/>
        <v>2000</v>
      </c>
      <c r="D88" s="121"/>
      <c r="E88" s="121"/>
      <c r="F88" s="314"/>
      <c r="G88" s="314"/>
      <c r="H88" s="314"/>
      <c r="I88" s="314"/>
      <c r="J88" s="29">
        <v>2000</v>
      </c>
      <c r="K88" s="77"/>
    </row>
    <row r="89" spans="1:11" s="8" customFormat="1" ht="15" customHeight="1">
      <c r="A89" s="104" t="s">
        <v>136</v>
      </c>
      <c r="B89" s="87" t="s">
        <v>353</v>
      </c>
      <c r="C89" s="318">
        <f t="shared" si="35"/>
        <v>250</v>
      </c>
      <c r="D89" s="116"/>
      <c r="E89" s="111">
        <v>250</v>
      </c>
      <c r="F89" s="299"/>
      <c r="G89" s="304"/>
      <c r="H89" s="304"/>
      <c r="I89" s="304"/>
      <c r="J89" s="15"/>
      <c r="K89" s="73"/>
    </row>
    <row r="90" spans="1:11" s="8" customFormat="1" ht="15" customHeight="1">
      <c r="A90" s="103"/>
      <c r="B90" s="87"/>
      <c r="C90" s="309"/>
      <c r="D90" s="152"/>
      <c r="E90" s="158"/>
      <c r="F90" s="333"/>
      <c r="G90" s="312"/>
      <c r="H90" s="312"/>
      <c r="I90" s="312"/>
      <c r="J90" s="17"/>
      <c r="K90" s="73"/>
    </row>
    <row r="91" spans="1:11" s="39" customFormat="1" ht="96" customHeight="1">
      <c r="A91" s="103" t="s">
        <v>137</v>
      </c>
      <c r="B91" s="43" t="s">
        <v>578</v>
      </c>
      <c r="C91" s="309">
        <f>SUM(C95:C113)</f>
        <v>7935.478999999999</v>
      </c>
      <c r="D91" s="97">
        <f>SUM(D92:D93)</f>
        <v>144</v>
      </c>
      <c r="E91" s="120">
        <f aca="true" t="shared" si="36" ref="E91:J91">SUM(E92:E93)</f>
        <v>2691.479</v>
      </c>
      <c r="F91" s="318">
        <f t="shared" si="36"/>
        <v>100</v>
      </c>
      <c r="G91" s="309">
        <f>SUM(G92:G93)</f>
        <v>0</v>
      </c>
      <c r="H91" s="309">
        <f t="shared" si="36"/>
        <v>1000</v>
      </c>
      <c r="I91" s="309">
        <f t="shared" si="36"/>
        <v>2000</v>
      </c>
      <c r="J91" s="18">
        <f t="shared" si="36"/>
        <v>2000</v>
      </c>
      <c r="K91" s="73" t="s">
        <v>12</v>
      </c>
    </row>
    <row r="92" spans="1:11" s="8" customFormat="1" ht="15" customHeight="1">
      <c r="A92" s="103" t="s">
        <v>138</v>
      </c>
      <c r="B92" s="10" t="s">
        <v>289</v>
      </c>
      <c r="C92" s="309">
        <f>SUM(D92:J92)</f>
        <v>7935.478999999999</v>
      </c>
      <c r="D92" s="152">
        <f>SUM(D95+D96+D97+D98+D99+D100+D101+D102+D103+D104+D105+D107+D108+D109+D110+D111+D112+D113)</f>
        <v>144</v>
      </c>
      <c r="E92" s="152">
        <f aca="true" t="shared" si="37" ref="E92:J92">SUM(E95+E96+E97+E98+E99+E100+E101+E102+E103+E104+E105+E107+E108+E109+E110+E111+E112+E113)</f>
        <v>2691.479</v>
      </c>
      <c r="F92" s="312">
        <f t="shared" si="37"/>
        <v>100</v>
      </c>
      <c r="G92" s="312">
        <f t="shared" si="37"/>
        <v>0</v>
      </c>
      <c r="H92" s="312">
        <f t="shared" si="37"/>
        <v>1000</v>
      </c>
      <c r="I92" s="312">
        <f t="shared" si="37"/>
        <v>2000</v>
      </c>
      <c r="J92" s="17">
        <f t="shared" si="37"/>
        <v>2000</v>
      </c>
      <c r="K92" s="79"/>
    </row>
    <row r="93" spans="1:11" s="8" customFormat="1" ht="15" customHeight="1">
      <c r="A93" s="103" t="s">
        <v>139</v>
      </c>
      <c r="B93" s="10" t="s">
        <v>291</v>
      </c>
      <c r="C93" s="309">
        <f>SUM(D93:J93)</f>
        <v>0</v>
      </c>
      <c r="D93" s="152"/>
      <c r="E93" s="158"/>
      <c r="F93" s="333"/>
      <c r="G93" s="312"/>
      <c r="H93" s="312"/>
      <c r="I93" s="312"/>
      <c r="J93" s="17"/>
      <c r="K93" s="79"/>
    </row>
    <row r="94" spans="1:11" s="13" customFormat="1" ht="15.75">
      <c r="A94" s="100"/>
      <c r="B94" s="10" t="s">
        <v>302</v>
      </c>
      <c r="C94" s="309"/>
      <c r="D94" s="154"/>
      <c r="E94" s="153"/>
      <c r="F94" s="320"/>
      <c r="G94" s="323"/>
      <c r="H94" s="323"/>
      <c r="I94" s="323"/>
      <c r="J94" s="20"/>
      <c r="K94" s="75"/>
    </row>
    <row r="95" spans="1:11" s="8" customFormat="1" ht="15.75">
      <c r="A95" s="103" t="s">
        <v>140</v>
      </c>
      <c r="B95" s="10" t="s">
        <v>367</v>
      </c>
      <c r="C95" s="318">
        <f>SUM(D95:J95)</f>
        <v>0</v>
      </c>
      <c r="D95" s="121">
        <f>1500-300-1200</f>
        <v>0</v>
      </c>
      <c r="E95" s="121">
        <v>0</v>
      </c>
      <c r="F95" s="314"/>
      <c r="G95" s="314"/>
      <c r="H95" s="314"/>
      <c r="I95" s="324"/>
      <c r="J95" s="19"/>
      <c r="K95" s="73"/>
    </row>
    <row r="96" spans="1:11" s="8" customFormat="1" ht="15.75">
      <c r="A96" s="103" t="s">
        <v>141</v>
      </c>
      <c r="B96" s="10" t="s">
        <v>309</v>
      </c>
      <c r="C96" s="318">
        <f>SUM(D96:J96)</f>
        <v>2144</v>
      </c>
      <c r="D96" s="121">
        <v>144</v>
      </c>
      <c r="E96" s="121"/>
      <c r="F96" s="314"/>
      <c r="G96" s="314"/>
      <c r="H96" s="314"/>
      <c r="I96" s="324"/>
      <c r="J96" s="19">
        <v>2000</v>
      </c>
      <c r="K96" s="73"/>
    </row>
    <row r="97" spans="1:11" s="8" customFormat="1" ht="15" customHeight="1">
      <c r="A97" s="103" t="s">
        <v>142</v>
      </c>
      <c r="B97" s="10" t="s">
        <v>368</v>
      </c>
      <c r="C97" s="318">
        <f aca="true" t="shared" si="38" ref="C97:C105">SUM(D97:J97)</f>
        <v>0</v>
      </c>
      <c r="D97" s="121"/>
      <c r="E97" s="121">
        <f>2000-2000</f>
        <v>0</v>
      </c>
      <c r="F97" s="314">
        <f>3260-3260</f>
        <v>0</v>
      </c>
      <c r="G97" s="314"/>
      <c r="H97" s="314"/>
      <c r="I97" s="324"/>
      <c r="J97" s="19"/>
      <c r="K97" s="73"/>
    </row>
    <row r="98" spans="1:11" s="8" customFormat="1" ht="15" customHeight="1">
      <c r="A98" s="103" t="s">
        <v>143</v>
      </c>
      <c r="B98" s="90" t="s">
        <v>671</v>
      </c>
      <c r="C98" s="318">
        <f t="shared" si="38"/>
        <v>1000</v>
      </c>
      <c r="D98" s="121"/>
      <c r="E98" s="121"/>
      <c r="F98" s="314"/>
      <c r="G98" s="314"/>
      <c r="H98" s="314">
        <f>1000</f>
        <v>1000</v>
      </c>
      <c r="I98" s="324"/>
      <c r="J98" s="19"/>
      <c r="K98" s="73"/>
    </row>
    <row r="99" spans="1:11" s="8" customFormat="1" ht="15" customHeight="1">
      <c r="A99" s="103" t="s">
        <v>144</v>
      </c>
      <c r="B99" s="90" t="s">
        <v>159</v>
      </c>
      <c r="C99" s="318">
        <f t="shared" si="38"/>
        <v>2000</v>
      </c>
      <c r="D99" s="121"/>
      <c r="E99" s="121"/>
      <c r="F99" s="314"/>
      <c r="G99" s="314"/>
      <c r="H99" s="314"/>
      <c r="I99" s="324">
        <v>2000</v>
      </c>
      <c r="J99" s="19"/>
      <c r="K99" s="73"/>
    </row>
    <row r="100" spans="1:11" s="8" customFormat="1" ht="15" customHeight="1">
      <c r="A100" s="103" t="s">
        <v>91</v>
      </c>
      <c r="B100" s="10" t="s">
        <v>369</v>
      </c>
      <c r="C100" s="318">
        <f t="shared" si="38"/>
        <v>2441.479</v>
      </c>
      <c r="D100" s="121"/>
      <c r="E100" s="121">
        <f>266+875.8-159.65+858.954+600.375</f>
        <v>2441.479</v>
      </c>
      <c r="F100" s="314"/>
      <c r="G100" s="314"/>
      <c r="H100" s="314"/>
      <c r="I100" s="324"/>
      <c r="J100" s="19"/>
      <c r="K100" s="73"/>
    </row>
    <row r="101" spans="1:11" s="8" customFormat="1" ht="15" customHeight="1">
      <c r="A101" s="103" t="s">
        <v>92</v>
      </c>
      <c r="B101" s="10" t="s">
        <v>370</v>
      </c>
      <c r="C101" s="318">
        <f t="shared" si="38"/>
        <v>0</v>
      </c>
      <c r="D101" s="121"/>
      <c r="E101" s="121"/>
      <c r="F101" s="314"/>
      <c r="G101" s="314"/>
      <c r="H101" s="314"/>
      <c r="I101" s="324"/>
      <c r="J101" s="19"/>
      <c r="K101" s="73"/>
    </row>
    <row r="102" spans="1:11" s="8" customFormat="1" ht="15" customHeight="1">
      <c r="A102" s="103" t="s">
        <v>93</v>
      </c>
      <c r="B102" s="10" t="s">
        <v>371</v>
      </c>
      <c r="C102" s="318">
        <f t="shared" si="38"/>
        <v>0</v>
      </c>
      <c r="D102" s="121"/>
      <c r="E102" s="121"/>
      <c r="F102" s="314"/>
      <c r="G102" s="314"/>
      <c r="H102" s="314"/>
      <c r="I102" s="324"/>
      <c r="J102" s="19"/>
      <c r="K102" s="73"/>
    </row>
    <row r="103" spans="1:11" s="8" customFormat="1" ht="15" customHeight="1">
      <c r="A103" s="103" t="s">
        <v>94</v>
      </c>
      <c r="B103" s="10" t="s">
        <v>372</v>
      </c>
      <c r="C103" s="318">
        <f t="shared" si="38"/>
        <v>0</v>
      </c>
      <c r="D103" s="121"/>
      <c r="E103" s="121"/>
      <c r="F103" s="314"/>
      <c r="G103" s="314"/>
      <c r="H103" s="314"/>
      <c r="I103" s="324"/>
      <c r="J103" s="19"/>
      <c r="K103" s="73"/>
    </row>
    <row r="104" spans="1:11" s="8" customFormat="1" ht="15" customHeight="1">
      <c r="A104" s="103" t="s">
        <v>95</v>
      </c>
      <c r="B104" s="10" t="s">
        <v>373</v>
      </c>
      <c r="C104" s="318">
        <f t="shared" si="38"/>
        <v>0</v>
      </c>
      <c r="D104" s="121"/>
      <c r="E104" s="121"/>
      <c r="F104" s="314"/>
      <c r="G104" s="314"/>
      <c r="H104" s="314"/>
      <c r="I104" s="324"/>
      <c r="J104" s="19"/>
      <c r="K104" s="73"/>
    </row>
    <row r="105" spans="1:11" s="8" customFormat="1" ht="15" customHeight="1">
      <c r="A105" s="103" t="s">
        <v>96</v>
      </c>
      <c r="B105" s="10" t="s">
        <v>85</v>
      </c>
      <c r="C105" s="318">
        <f t="shared" si="38"/>
        <v>0</v>
      </c>
      <c r="D105" s="121"/>
      <c r="E105" s="121"/>
      <c r="F105" s="314"/>
      <c r="G105" s="314"/>
      <c r="H105" s="314"/>
      <c r="I105" s="324"/>
      <c r="J105" s="19"/>
      <c r="K105" s="73"/>
    </row>
    <row r="106" spans="1:11" s="8" customFormat="1" ht="35.25" customHeight="1">
      <c r="A106" s="103"/>
      <c r="B106" s="10" t="s">
        <v>350</v>
      </c>
      <c r="C106" s="318"/>
      <c r="D106" s="121"/>
      <c r="E106" s="121"/>
      <c r="F106" s="314"/>
      <c r="G106" s="314"/>
      <c r="H106" s="314"/>
      <c r="I106" s="324"/>
      <c r="J106" s="19"/>
      <c r="K106" s="73"/>
    </row>
    <row r="107" spans="1:11" s="8" customFormat="1" ht="15" customHeight="1">
      <c r="A107" s="103" t="s">
        <v>97</v>
      </c>
      <c r="B107" s="12" t="s">
        <v>672</v>
      </c>
      <c r="C107" s="318">
        <f>SUM(D107:J107)</f>
        <v>250</v>
      </c>
      <c r="D107" s="121"/>
      <c r="E107" s="121">
        <f>250</f>
        <v>250</v>
      </c>
      <c r="F107" s="314"/>
      <c r="G107" s="314"/>
      <c r="H107" s="314"/>
      <c r="I107" s="324"/>
      <c r="J107" s="19"/>
      <c r="K107" s="73"/>
    </row>
    <row r="108" spans="1:11" s="8" customFormat="1" ht="15" customHeight="1">
      <c r="A108" s="103" t="s">
        <v>98</v>
      </c>
      <c r="B108" s="12" t="s">
        <v>354</v>
      </c>
      <c r="C108" s="318">
        <f aca="true" t="shared" si="39" ref="C108:C113">SUM(D108:J108)</f>
        <v>0</v>
      </c>
      <c r="D108" s="121"/>
      <c r="E108" s="121">
        <f>266-266</f>
        <v>0</v>
      </c>
      <c r="F108" s="314"/>
      <c r="G108" s="314"/>
      <c r="H108" s="314"/>
      <c r="I108" s="324"/>
      <c r="J108" s="19"/>
      <c r="K108" s="73"/>
    </row>
    <row r="109" spans="1:11" s="8" customFormat="1" ht="15" customHeight="1">
      <c r="A109" s="103" t="s">
        <v>99</v>
      </c>
      <c r="B109" s="12" t="s">
        <v>366</v>
      </c>
      <c r="C109" s="318">
        <f t="shared" si="39"/>
        <v>0</v>
      </c>
      <c r="D109" s="121"/>
      <c r="E109" s="121"/>
      <c r="F109" s="314"/>
      <c r="G109" s="314"/>
      <c r="H109" s="314"/>
      <c r="I109" s="324"/>
      <c r="J109" s="19"/>
      <c r="K109" s="73"/>
    </row>
    <row r="110" spans="1:11" s="8" customFormat="1" ht="15" customHeight="1">
      <c r="A110" s="103" t="s">
        <v>100</v>
      </c>
      <c r="B110" s="12" t="s">
        <v>673</v>
      </c>
      <c r="C110" s="318">
        <f t="shared" si="39"/>
        <v>100</v>
      </c>
      <c r="D110" s="121"/>
      <c r="E110" s="121">
        <f>250-250</f>
        <v>0</v>
      </c>
      <c r="F110" s="314">
        <f>100</f>
        <v>100</v>
      </c>
      <c r="G110" s="314"/>
      <c r="H110" s="314"/>
      <c r="I110" s="324"/>
      <c r="J110" s="19"/>
      <c r="K110" s="73"/>
    </row>
    <row r="111" spans="1:11" s="8" customFormat="1" ht="15" customHeight="1">
      <c r="A111" s="103" t="s">
        <v>101</v>
      </c>
      <c r="B111" s="12" t="s">
        <v>374</v>
      </c>
      <c r="C111" s="318">
        <f t="shared" si="39"/>
        <v>0</v>
      </c>
      <c r="D111" s="121"/>
      <c r="E111" s="121"/>
      <c r="F111" s="314"/>
      <c r="G111" s="314"/>
      <c r="H111" s="314"/>
      <c r="I111" s="324"/>
      <c r="J111" s="19"/>
      <c r="K111" s="73"/>
    </row>
    <row r="112" spans="1:11" s="8" customFormat="1" ht="15" customHeight="1">
      <c r="A112" s="103" t="s">
        <v>102</v>
      </c>
      <c r="B112" s="12" t="s">
        <v>365</v>
      </c>
      <c r="C112" s="318">
        <f t="shared" si="39"/>
        <v>0</v>
      </c>
      <c r="D112" s="121"/>
      <c r="E112" s="121"/>
      <c r="F112" s="314"/>
      <c r="G112" s="314"/>
      <c r="H112" s="314"/>
      <c r="I112" s="324"/>
      <c r="J112" s="19"/>
      <c r="K112" s="73"/>
    </row>
    <row r="113" spans="1:11" s="8" customFormat="1" ht="15" customHeight="1">
      <c r="A113" s="103" t="s">
        <v>103</v>
      </c>
      <c r="B113" s="12" t="s">
        <v>86</v>
      </c>
      <c r="C113" s="318">
        <f t="shared" si="39"/>
        <v>0</v>
      </c>
      <c r="D113" s="121"/>
      <c r="E113" s="121"/>
      <c r="F113" s="314"/>
      <c r="G113" s="314"/>
      <c r="H113" s="314"/>
      <c r="I113" s="324"/>
      <c r="J113" s="19"/>
      <c r="K113" s="73"/>
    </row>
    <row r="114" spans="1:11" s="8" customFormat="1" ht="15" customHeight="1">
      <c r="A114" s="103"/>
      <c r="B114" s="12"/>
      <c r="C114" s="309"/>
      <c r="D114" s="117"/>
      <c r="E114" s="95"/>
      <c r="F114" s="315"/>
      <c r="G114" s="316"/>
      <c r="H114" s="316"/>
      <c r="I114" s="316"/>
      <c r="J114" s="22"/>
      <c r="K114" s="73"/>
    </row>
    <row r="115" spans="1:11" s="39" customFormat="1" ht="81.75" customHeight="1">
      <c r="A115" s="103" t="s">
        <v>104</v>
      </c>
      <c r="B115" s="37" t="s">
        <v>579</v>
      </c>
      <c r="C115" s="308">
        <f>SUM(C116)</f>
        <v>485349.8</v>
      </c>
      <c r="D115" s="115">
        <f>SUM(D116)</f>
        <v>98262</v>
      </c>
      <c r="E115" s="114">
        <f aca="true" t="shared" si="40" ref="E115:J115">SUM(E116)</f>
        <v>105283</v>
      </c>
      <c r="F115" s="204">
        <f t="shared" si="40"/>
        <v>149688.8</v>
      </c>
      <c r="G115" s="308">
        <f t="shared" si="40"/>
        <v>0</v>
      </c>
      <c r="H115" s="308">
        <f t="shared" si="40"/>
        <v>0</v>
      </c>
      <c r="I115" s="308">
        <f t="shared" si="40"/>
        <v>0</v>
      </c>
      <c r="J115" s="16">
        <f t="shared" si="40"/>
        <v>132116</v>
      </c>
      <c r="K115" s="73" t="s">
        <v>13</v>
      </c>
    </row>
    <row r="116" spans="1:11" s="8" customFormat="1" ht="15" customHeight="1">
      <c r="A116" s="103" t="s">
        <v>105</v>
      </c>
      <c r="B116" s="10" t="s">
        <v>291</v>
      </c>
      <c r="C116" s="309">
        <f>SUM(D116:J116)</f>
        <v>485349.8</v>
      </c>
      <c r="D116" s="95">
        <f>87177+6741+4344</f>
        <v>98262</v>
      </c>
      <c r="E116" s="95">
        <f>109598-4315</f>
        <v>105283</v>
      </c>
      <c r="F116" s="315">
        <f>150914-1225.2</f>
        <v>149688.8</v>
      </c>
      <c r="G116" s="315"/>
      <c r="H116" s="315"/>
      <c r="I116" s="315"/>
      <c r="J116" s="34">
        <v>132116</v>
      </c>
      <c r="K116" s="73"/>
    </row>
    <row r="117" spans="1:11" s="8" customFormat="1" ht="15" customHeight="1">
      <c r="A117" s="103"/>
      <c r="B117" s="89"/>
      <c r="C117" s="309"/>
      <c r="D117" s="95"/>
      <c r="E117" s="95"/>
      <c r="F117" s="315"/>
      <c r="G117" s="315"/>
      <c r="H117" s="315"/>
      <c r="I117" s="315"/>
      <c r="J117" s="34"/>
      <c r="K117" s="73"/>
    </row>
    <row r="118" spans="1:11" s="39" customFormat="1" ht="82.5" customHeight="1">
      <c r="A118" s="104" t="s">
        <v>106</v>
      </c>
      <c r="B118" s="38" t="s">
        <v>580</v>
      </c>
      <c r="C118" s="308">
        <f>SUM(C119:C121)</f>
        <v>824450.7320000001</v>
      </c>
      <c r="D118" s="115">
        <f aca="true" t="shared" si="41" ref="D118:J118">SUM(D119:D121)</f>
        <v>137034.519</v>
      </c>
      <c r="E118" s="114">
        <f t="shared" si="41"/>
        <v>153941.77599999998</v>
      </c>
      <c r="F118" s="204">
        <f t="shared" si="41"/>
        <v>119106.73700000001</v>
      </c>
      <c r="G118" s="308">
        <f t="shared" si="41"/>
        <v>82947.7</v>
      </c>
      <c r="H118" s="308">
        <f t="shared" si="41"/>
        <v>84830</v>
      </c>
      <c r="I118" s="308">
        <f t="shared" si="41"/>
        <v>84830</v>
      </c>
      <c r="J118" s="16">
        <f t="shared" si="41"/>
        <v>161760</v>
      </c>
      <c r="K118" s="73" t="s">
        <v>13</v>
      </c>
    </row>
    <row r="119" spans="1:12" s="8" customFormat="1" ht="15" customHeight="1">
      <c r="A119" s="104" t="s">
        <v>107</v>
      </c>
      <c r="B119" s="10" t="s">
        <v>289</v>
      </c>
      <c r="C119" s="309">
        <f>SUM(D119:J119)</f>
        <v>674134.7320000001</v>
      </c>
      <c r="D119" s="95">
        <v>104718.519</v>
      </c>
      <c r="E119" s="95">
        <f>118131-150+159.65-1200-455.891-587.485+44.502</f>
        <v>115941.77599999998</v>
      </c>
      <c r="F119" s="315">
        <f>69537.1+4500+4741.615+250-100-200+178.022+200</f>
        <v>79106.73700000001</v>
      </c>
      <c r="G119" s="315">
        <f>82147.7+800</f>
        <v>82947.7</v>
      </c>
      <c r="H119" s="315">
        <f>84830</f>
        <v>84830</v>
      </c>
      <c r="I119" s="315">
        <f>84830</f>
        <v>84830</v>
      </c>
      <c r="J119" s="34">
        <v>121760</v>
      </c>
      <c r="K119" s="73"/>
      <c r="L119" s="66"/>
    </row>
    <row r="120" spans="1:12" s="8" customFormat="1" ht="15" customHeight="1">
      <c r="A120" s="104" t="s">
        <v>108</v>
      </c>
      <c r="B120" s="12" t="s">
        <v>291</v>
      </c>
      <c r="C120" s="309">
        <f>SUM(D120:J120)</f>
        <v>1316</v>
      </c>
      <c r="D120" s="95">
        <v>1316</v>
      </c>
      <c r="E120" s="95"/>
      <c r="F120" s="315"/>
      <c r="G120" s="315"/>
      <c r="H120" s="315"/>
      <c r="I120" s="315"/>
      <c r="J120" s="34"/>
      <c r="K120" s="73"/>
      <c r="L120" s="66"/>
    </row>
    <row r="121" spans="1:11" s="8" customFormat="1" ht="15" customHeight="1">
      <c r="A121" s="104" t="s">
        <v>109</v>
      </c>
      <c r="B121" s="10" t="s">
        <v>292</v>
      </c>
      <c r="C121" s="309">
        <f>SUM(D121:J121)</f>
        <v>149000</v>
      </c>
      <c r="D121" s="95">
        <v>31000</v>
      </c>
      <c r="E121" s="95">
        <v>38000</v>
      </c>
      <c r="F121" s="315">
        <v>40000</v>
      </c>
      <c r="G121" s="315"/>
      <c r="H121" s="315"/>
      <c r="I121" s="315"/>
      <c r="J121" s="34">
        <v>40000</v>
      </c>
      <c r="K121" s="73"/>
    </row>
    <row r="122" spans="1:11" s="8" customFormat="1" ht="15" customHeight="1">
      <c r="A122" s="103"/>
      <c r="B122" s="89"/>
      <c r="C122" s="309"/>
      <c r="D122" s="95"/>
      <c r="E122" s="95"/>
      <c r="F122" s="315"/>
      <c r="G122" s="315"/>
      <c r="H122" s="315"/>
      <c r="I122" s="315"/>
      <c r="J122" s="34"/>
      <c r="K122" s="73"/>
    </row>
    <row r="123" spans="1:11" s="41" customFormat="1" ht="63">
      <c r="A123" s="102" t="s">
        <v>410</v>
      </c>
      <c r="B123" s="85" t="s">
        <v>581</v>
      </c>
      <c r="C123" s="204">
        <f aca="true" t="shared" si="42" ref="C123:J123">SUM(C124:C124)</f>
        <v>3103.2219999999998</v>
      </c>
      <c r="D123" s="114">
        <f t="shared" si="42"/>
        <v>2207</v>
      </c>
      <c r="E123" s="114">
        <f t="shared" si="42"/>
        <v>896.222</v>
      </c>
      <c r="F123" s="204">
        <f t="shared" si="42"/>
        <v>0</v>
      </c>
      <c r="G123" s="204">
        <f t="shared" si="42"/>
        <v>0</v>
      </c>
      <c r="H123" s="204">
        <f t="shared" si="42"/>
        <v>0</v>
      </c>
      <c r="I123" s="204">
        <f t="shared" si="42"/>
        <v>0</v>
      </c>
      <c r="J123" s="35">
        <f t="shared" si="42"/>
        <v>0</v>
      </c>
      <c r="K123" s="73" t="s">
        <v>10</v>
      </c>
    </row>
    <row r="124" spans="1:12" s="14" customFormat="1" ht="15.75">
      <c r="A124" s="99" t="s">
        <v>402</v>
      </c>
      <c r="B124" s="32" t="s">
        <v>289</v>
      </c>
      <c r="C124" s="318">
        <f>SUM(D124:J124)</f>
        <v>3103.2219999999998</v>
      </c>
      <c r="D124" s="111">
        <f>1000+1207</f>
        <v>2207</v>
      </c>
      <c r="E124" s="111">
        <f>505+391.3-0.078</f>
        <v>896.222</v>
      </c>
      <c r="F124" s="299"/>
      <c r="G124" s="299"/>
      <c r="H124" s="299"/>
      <c r="I124" s="299"/>
      <c r="J124" s="52"/>
      <c r="K124" s="77"/>
      <c r="L124" s="86"/>
    </row>
    <row r="125" spans="1:12" s="14" customFormat="1" ht="15.75">
      <c r="A125" s="102"/>
      <c r="B125" s="32"/>
      <c r="C125" s="204"/>
      <c r="D125" s="111"/>
      <c r="E125" s="111"/>
      <c r="F125" s="299"/>
      <c r="G125" s="299"/>
      <c r="H125" s="299"/>
      <c r="I125" s="299"/>
      <c r="J125" s="52"/>
      <c r="K125" s="77"/>
      <c r="L125" s="86"/>
    </row>
    <row r="126" spans="1:11" s="41" customFormat="1" ht="47.25">
      <c r="A126" s="102" t="s">
        <v>403</v>
      </c>
      <c r="B126" s="85" t="s">
        <v>582</v>
      </c>
      <c r="C126" s="204">
        <f>SUM(D126:J126)</f>
        <v>50221.235</v>
      </c>
      <c r="D126" s="114">
        <f>SUM(D127:D128)</f>
        <v>0</v>
      </c>
      <c r="E126" s="114">
        <f aca="true" t="shared" si="43" ref="E126:J126">SUM(E127:E128)</f>
        <v>50221.235</v>
      </c>
      <c r="F126" s="204">
        <f t="shared" si="43"/>
        <v>0</v>
      </c>
      <c r="G126" s="204">
        <f t="shared" si="43"/>
        <v>0</v>
      </c>
      <c r="H126" s="204">
        <f t="shared" si="43"/>
        <v>0</v>
      </c>
      <c r="I126" s="204">
        <f t="shared" si="43"/>
        <v>0</v>
      </c>
      <c r="J126" s="35">
        <f t="shared" si="43"/>
        <v>0</v>
      </c>
      <c r="K126" s="73" t="s">
        <v>10</v>
      </c>
    </row>
    <row r="127" spans="1:11" s="41" customFormat="1" ht="15.75">
      <c r="A127" s="102" t="s">
        <v>404</v>
      </c>
      <c r="B127" s="32" t="s">
        <v>289</v>
      </c>
      <c r="C127" s="318">
        <f>SUM(D127:J127)</f>
        <v>24321.235</v>
      </c>
      <c r="D127" s="124">
        <f>SUM(D131+D135)</f>
        <v>0</v>
      </c>
      <c r="E127" s="124">
        <f aca="true" t="shared" si="44" ref="E127:J127">SUM(E131+E135+E138+E141)</f>
        <v>24321.235</v>
      </c>
      <c r="F127" s="205">
        <f t="shared" si="44"/>
        <v>0</v>
      </c>
      <c r="G127" s="205">
        <f t="shared" si="44"/>
        <v>0</v>
      </c>
      <c r="H127" s="205">
        <f t="shared" si="44"/>
        <v>0</v>
      </c>
      <c r="I127" s="205">
        <f t="shared" si="44"/>
        <v>0</v>
      </c>
      <c r="J127" s="91">
        <f t="shared" si="44"/>
        <v>0</v>
      </c>
      <c r="K127" s="77"/>
    </row>
    <row r="128" spans="1:11" s="41" customFormat="1" ht="15.75">
      <c r="A128" s="102" t="s">
        <v>405</v>
      </c>
      <c r="B128" s="28" t="s">
        <v>291</v>
      </c>
      <c r="C128" s="318">
        <f>SUM(D128:J128)</f>
        <v>25900</v>
      </c>
      <c r="D128" s="124">
        <f>SUM(D132)</f>
        <v>0</v>
      </c>
      <c r="E128" s="124">
        <f aca="true" t="shared" si="45" ref="E128:J128">SUM(E132+E142)</f>
        <v>25900</v>
      </c>
      <c r="F128" s="205">
        <f t="shared" si="45"/>
        <v>0</v>
      </c>
      <c r="G128" s="205">
        <f t="shared" si="45"/>
        <v>0</v>
      </c>
      <c r="H128" s="205">
        <f t="shared" si="45"/>
        <v>0</v>
      </c>
      <c r="I128" s="205">
        <f t="shared" si="45"/>
        <v>0</v>
      </c>
      <c r="J128" s="91">
        <f t="shared" si="45"/>
        <v>0</v>
      </c>
      <c r="K128" s="77"/>
    </row>
    <row r="129" spans="1:11" s="41" customFormat="1" ht="15.75">
      <c r="A129" s="99"/>
      <c r="B129" s="32" t="s">
        <v>384</v>
      </c>
      <c r="C129" s="318"/>
      <c r="D129" s="114"/>
      <c r="E129" s="114"/>
      <c r="F129" s="204"/>
      <c r="G129" s="204"/>
      <c r="H129" s="204"/>
      <c r="I129" s="204"/>
      <c r="J129" s="35"/>
      <c r="K129" s="77"/>
    </row>
    <row r="130" spans="1:11" s="41" customFormat="1" ht="31.5">
      <c r="A130" s="99" t="s">
        <v>406</v>
      </c>
      <c r="B130" s="32" t="s">
        <v>385</v>
      </c>
      <c r="C130" s="318">
        <f aca="true" t="shared" si="46" ref="C130:C142">SUM(D130:J130)</f>
        <v>40341.235</v>
      </c>
      <c r="D130" s="114">
        <f aca="true" t="shared" si="47" ref="D130:J130">SUM(D131:D132)</f>
        <v>0</v>
      </c>
      <c r="E130" s="114">
        <f t="shared" si="47"/>
        <v>40341.235</v>
      </c>
      <c r="F130" s="204">
        <f t="shared" si="47"/>
        <v>0</v>
      </c>
      <c r="G130" s="204">
        <f t="shared" si="47"/>
        <v>0</v>
      </c>
      <c r="H130" s="204">
        <f t="shared" si="47"/>
        <v>0</v>
      </c>
      <c r="I130" s="204">
        <f t="shared" si="47"/>
        <v>0</v>
      </c>
      <c r="J130" s="35">
        <f t="shared" si="47"/>
        <v>0</v>
      </c>
      <c r="K130" s="77"/>
    </row>
    <row r="131" spans="1:11" s="41" customFormat="1" ht="15.75">
      <c r="A131" s="99" t="s">
        <v>407</v>
      </c>
      <c r="B131" s="32" t="s">
        <v>289</v>
      </c>
      <c r="C131" s="318">
        <f t="shared" si="46"/>
        <v>17241.235</v>
      </c>
      <c r="D131" s="124"/>
      <c r="E131" s="124">
        <f>9900+4820+1900+621.235</f>
        <v>17241.235</v>
      </c>
      <c r="F131" s="205">
        <f>2700-2700</f>
        <v>0</v>
      </c>
      <c r="G131" s="205"/>
      <c r="H131" s="205"/>
      <c r="I131" s="205"/>
      <c r="J131" s="91"/>
      <c r="K131" s="77"/>
    </row>
    <row r="132" spans="1:11" s="41" customFormat="1" ht="15.75">
      <c r="A132" s="99" t="s">
        <v>408</v>
      </c>
      <c r="B132" s="28" t="s">
        <v>291</v>
      </c>
      <c r="C132" s="318">
        <f t="shared" si="46"/>
        <v>23100</v>
      </c>
      <c r="D132" s="124"/>
      <c r="E132" s="124">
        <v>23100</v>
      </c>
      <c r="F132" s="205"/>
      <c r="G132" s="205"/>
      <c r="H132" s="205"/>
      <c r="I132" s="205"/>
      <c r="J132" s="91"/>
      <c r="K132" s="77"/>
    </row>
    <row r="133" spans="1:11" s="41" customFormat="1" ht="15.75">
      <c r="A133" s="99"/>
      <c r="B133" s="28"/>
      <c r="C133" s="318"/>
      <c r="D133" s="124"/>
      <c r="E133" s="124"/>
      <c r="F133" s="205"/>
      <c r="G133" s="205"/>
      <c r="H133" s="205"/>
      <c r="I133" s="205"/>
      <c r="J133" s="91"/>
      <c r="K133" s="77"/>
    </row>
    <row r="134" spans="1:11" s="41" customFormat="1" ht="47.25">
      <c r="A134" s="99" t="s">
        <v>409</v>
      </c>
      <c r="B134" s="92" t="s">
        <v>383</v>
      </c>
      <c r="C134" s="318">
        <f t="shared" si="46"/>
        <v>780</v>
      </c>
      <c r="D134" s="124">
        <f>SUM(D135)</f>
        <v>0</v>
      </c>
      <c r="E134" s="124">
        <f aca="true" t="shared" si="48" ref="E134:J137">SUM(E135)</f>
        <v>780</v>
      </c>
      <c r="F134" s="205">
        <f t="shared" si="48"/>
        <v>0</v>
      </c>
      <c r="G134" s="205">
        <f t="shared" si="48"/>
        <v>0</v>
      </c>
      <c r="H134" s="205">
        <f t="shared" si="48"/>
        <v>0</v>
      </c>
      <c r="I134" s="205">
        <f t="shared" si="48"/>
        <v>0</v>
      </c>
      <c r="J134" s="91">
        <f t="shared" si="48"/>
        <v>0</v>
      </c>
      <c r="K134" s="77"/>
    </row>
    <row r="135" spans="1:12" s="14" customFormat="1" ht="15.75">
      <c r="A135" s="99" t="s">
        <v>411</v>
      </c>
      <c r="B135" s="32" t="s">
        <v>289</v>
      </c>
      <c r="C135" s="318">
        <f t="shared" si="46"/>
        <v>780</v>
      </c>
      <c r="D135" s="111"/>
      <c r="E135" s="111">
        <f>600+180</f>
        <v>780</v>
      </c>
      <c r="F135" s="299"/>
      <c r="G135" s="299"/>
      <c r="H135" s="299"/>
      <c r="I135" s="299"/>
      <c r="J135" s="52"/>
      <c r="K135" s="77"/>
      <c r="L135" s="86"/>
    </row>
    <row r="136" spans="1:12" s="14" customFormat="1" ht="15.75">
      <c r="A136" s="99"/>
      <c r="B136" s="32"/>
      <c r="C136" s="318"/>
      <c r="D136" s="111"/>
      <c r="E136" s="111"/>
      <c r="F136" s="299"/>
      <c r="G136" s="299"/>
      <c r="H136" s="299"/>
      <c r="I136" s="299"/>
      <c r="J136" s="52"/>
      <c r="K136" s="77"/>
      <c r="L136" s="86"/>
    </row>
    <row r="137" spans="1:11" s="41" customFormat="1" ht="31.5">
      <c r="A137" s="99" t="s">
        <v>412</v>
      </c>
      <c r="B137" s="92" t="s">
        <v>394</v>
      </c>
      <c r="C137" s="318">
        <f>SUM(D137:J137)</f>
        <v>5100</v>
      </c>
      <c r="D137" s="124">
        <f>SUM(D138)</f>
        <v>0</v>
      </c>
      <c r="E137" s="124">
        <f t="shared" si="48"/>
        <v>5100</v>
      </c>
      <c r="F137" s="205">
        <f t="shared" si="48"/>
        <v>0</v>
      </c>
      <c r="G137" s="205">
        <f t="shared" si="48"/>
        <v>0</v>
      </c>
      <c r="H137" s="205">
        <f t="shared" si="48"/>
        <v>0</v>
      </c>
      <c r="I137" s="205">
        <f t="shared" si="48"/>
        <v>0</v>
      </c>
      <c r="J137" s="91">
        <f t="shared" si="48"/>
        <v>0</v>
      </c>
      <c r="K137" s="77"/>
    </row>
    <row r="138" spans="1:12" s="14" customFormat="1" ht="15.75">
      <c r="A138" s="99" t="s">
        <v>413</v>
      </c>
      <c r="B138" s="32" t="s">
        <v>289</v>
      </c>
      <c r="C138" s="318">
        <f>SUM(D138:J138)</f>
        <v>5100</v>
      </c>
      <c r="D138" s="111"/>
      <c r="E138" s="111">
        <f>7000-1900</f>
        <v>5100</v>
      </c>
      <c r="F138" s="299"/>
      <c r="G138" s="299"/>
      <c r="H138" s="299"/>
      <c r="I138" s="299"/>
      <c r="J138" s="52"/>
      <c r="K138" s="77"/>
      <c r="L138" s="86"/>
    </row>
    <row r="139" spans="1:12" s="14" customFormat="1" ht="15.75">
      <c r="A139" s="99"/>
      <c r="B139" s="32"/>
      <c r="C139" s="318"/>
      <c r="D139" s="111"/>
      <c r="E139" s="111"/>
      <c r="F139" s="299"/>
      <c r="G139" s="299"/>
      <c r="H139" s="299"/>
      <c r="I139" s="299"/>
      <c r="J139" s="52"/>
      <c r="K139" s="77"/>
      <c r="L139" s="86"/>
    </row>
    <row r="140" spans="1:12" s="14" customFormat="1" ht="31.5">
      <c r="A140" s="99" t="s">
        <v>414</v>
      </c>
      <c r="B140" s="32" t="s">
        <v>391</v>
      </c>
      <c r="C140" s="318">
        <f t="shared" si="46"/>
        <v>4000</v>
      </c>
      <c r="D140" s="114">
        <f aca="true" t="shared" si="49" ref="D140:I140">SUM(D141:D142)</f>
        <v>0</v>
      </c>
      <c r="E140" s="114">
        <f t="shared" si="49"/>
        <v>4000</v>
      </c>
      <c r="F140" s="204">
        <f t="shared" si="49"/>
        <v>0</v>
      </c>
      <c r="G140" s="204">
        <f t="shared" si="49"/>
        <v>0</v>
      </c>
      <c r="H140" s="204">
        <f t="shared" si="49"/>
        <v>0</v>
      </c>
      <c r="I140" s="204">
        <f t="shared" si="49"/>
        <v>0</v>
      </c>
      <c r="J140" s="35"/>
      <c r="K140" s="77"/>
      <c r="L140" s="86"/>
    </row>
    <row r="141" spans="1:12" s="14" customFormat="1" ht="15.75">
      <c r="A141" s="99" t="s">
        <v>415</v>
      </c>
      <c r="B141" s="32" t="s">
        <v>289</v>
      </c>
      <c r="C141" s="318">
        <f t="shared" si="46"/>
        <v>1200</v>
      </c>
      <c r="D141" s="111"/>
      <c r="E141" s="111">
        <f>1200</f>
        <v>1200</v>
      </c>
      <c r="F141" s="299"/>
      <c r="G141" s="299"/>
      <c r="H141" s="299"/>
      <c r="I141" s="299"/>
      <c r="J141" s="52"/>
      <c r="K141" s="77"/>
      <c r="L141" s="86"/>
    </row>
    <row r="142" spans="1:12" s="14" customFormat="1" ht="15.75">
      <c r="A142" s="99" t="s">
        <v>416</v>
      </c>
      <c r="B142" s="28" t="s">
        <v>291</v>
      </c>
      <c r="C142" s="318">
        <f t="shared" si="46"/>
        <v>2800</v>
      </c>
      <c r="D142" s="111"/>
      <c r="E142" s="111">
        <f>2800</f>
        <v>2800</v>
      </c>
      <c r="F142" s="299"/>
      <c r="G142" s="299"/>
      <c r="H142" s="299"/>
      <c r="I142" s="299"/>
      <c r="J142" s="52"/>
      <c r="K142" s="77"/>
      <c r="L142" s="86"/>
    </row>
    <row r="143" spans="1:12" s="14" customFormat="1" ht="15.75">
      <c r="A143" s="102"/>
      <c r="B143" s="32"/>
      <c r="C143" s="204"/>
      <c r="D143" s="111"/>
      <c r="E143" s="111"/>
      <c r="F143" s="299"/>
      <c r="G143" s="299"/>
      <c r="H143" s="299"/>
      <c r="I143" s="299"/>
      <c r="J143" s="52"/>
      <c r="K143" s="77"/>
      <c r="L143" s="86"/>
    </row>
    <row r="144" spans="1:11" s="7" customFormat="1" ht="15" customHeight="1">
      <c r="A144" s="165"/>
      <c r="B144" s="429" t="s">
        <v>344</v>
      </c>
      <c r="C144" s="430"/>
      <c r="D144" s="430"/>
      <c r="E144" s="430"/>
      <c r="F144" s="430"/>
      <c r="G144" s="430"/>
      <c r="H144" s="430"/>
      <c r="I144" s="430"/>
      <c r="J144" s="430"/>
      <c r="K144" s="431"/>
    </row>
    <row r="145" spans="1:11" s="39" customFormat="1" ht="23.25" customHeight="1">
      <c r="A145" s="103" t="s">
        <v>417</v>
      </c>
      <c r="B145" s="43" t="s">
        <v>319</v>
      </c>
      <c r="C145" s="309">
        <f>SUM(C146:C149)</f>
        <v>1688831.66366</v>
      </c>
      <c r="D145" s="97">
        <f aca="true" t="shared" si="50" ref="D145:J145">SUM(D146:D149)</f>
        <v>364991.669</v>
      </c>
      <c r="E145" s="97">
        <f>SUM(E146:E149)</f>
        <v>311126.389</v>
      </c>
      <c r="F145" s="318">
        <f>SUM(F146:F149)</f>
        <v>334841.80566</v>
      </c>
      <c r="G145" s="309">
        <f t="shared" si="50"/>
        <v>104575</v>
      </c>
      <c r="H145" s="309">
        <f t="shared" si="50"/>
        <v>98859.40000000001</v>
      </c>
      <c r="I145" s="309">
        <f t="shared" si="50"/>
        <v>103939.4</v>
      </c>
      <c r="J145" s="18">
        <f t="shared" si="50"/>
        <v>370498</v>
      </c>
      <c r="K145" s="72"/>
    </row>
    <row r="146" spans="1:11" s="8" customFormat="1" ht="15" customHeight="1">
      <c r="A146" s="103" t="s">
        <v>418</v>
      </c>
      <c r="B146" s="10" t="s">
        <v>289</v>
      </c>
      <c r="C146" s="309">
        <f>SUM(D146:J146)</f>
        <v>852075.53766</v>
      </c>
      <c r="D146" s="117">
        <f aca="true" t="shared" si="51" ref="D146:J146">SUM(D152+D184)</f>
        <v>163755.794</v>
      </c>
      <c r="E146" s="117">
        <f t="shared" si="51"/>
        <v>130901.93800000001</v>
      </c>
      <c r="F146" s="315">
        <f>SUM(F152+F184)</f>
        <v>102999.00566000002</v>
      </c>
      <c r="G146" s="315">
        <f>SUM(G152+G184)</f>
        <v>104575</v>
      </c>
      <c r="H146" s="316">
        <f t="shared" si="51"/>
        <v>98859.40000000001</v>
      </c>
      <c r="I146" s="316">
        <f t="shared" si="51"/>
        <v>103939.4</v>
      </c>
      <c r="J146" s="22">
        <f t="shared" si="51"/>
        <v>147045</v>
      </c>
      <c r="K146" s="73"/>
    </row>
    <row r="147" spans="1:11" s="8" customFormat="1" ht="15" customHeight="1">
      <c r="A147" s="103" t="s">
        <v>419</v>
      </c>
      <c r="B147" s="10" t="s">
        <v>290</v>
      </c>
      <c r="C147" s="309">
        <f>SUM(D147:J147)</f>
        <v>7508.806</v>
      </c>
      <c r="D147" s="117">
        <f>SUM(D185)</f>
        <v>1155.675</v>
      </c>
      <c r="E147" s="117">
        <f aca="true" t="shared" si="52" ref="E147:J147">SUM(E185)</f>
        <v>2441.431</v>
      </c>
      <c r="F147" s="315">
        <f t="shared" si="52"/>
        <v>3911.7</v>
      </c>
      <c r="G147" s="316">
        <f t="shared" si="52"/>
        <v>0</v>
      </c>
      <c r="H147" s="316">
        <f t="shared" si="52"/>
        <v>0</v>
      </c>
      <c r="I147" s="316">
        <f t="shared" si="52"/>
        <v>0</v>
      </c>
      <c r="J147" s="22">
        <f t="shared" si="52"/>
        <v>0</v>
      </c>
      <c r="K147" s="73"/>
    </row>
    <row r="148" spans="1:11" s="8" customFormat="1" ht="15" customHeight="1">
      <c r="A148" s="103" t="s">
        <v>420</v>
      </c>
      <c r="B148" s="10" t="s">
        <v>291</v>
      </c>
      <c r="C148" s="309">
        <f>SUM(D148:J148)</f>
        <v>821649.92</v>
      </c>
      <c r="D148" s="117">
        <f aca="true" t="shared" si="53" ref="D148:J148">SUM(D154+D186)</f>
        <v>195882.8</v>
      </c>
      <c r="E148" s="117">
        <f t="shared" si="53"/>
        <v>177783.02000000002</v>
      </c>
      <c r="F148" s="315">
        <f t="shared" si="53"/>
        <v>226231.1</v>
      </c>
      <c r="G148" s="316">
        <f t="shared" si="53"/>
        <v>0</v>
      </c>
      <c r="H148" s="316">
        <f t="shared" si="53"/>
        <v>0</v>
      </c>
      <c r="I148" s="316">
        <f t="shared" si="53"/>
        <v>0</v>
      </c>
      <c r="J148" s="22">
        <f t="shared" si="53"/>
        <v>221753</v>
      </c>
      <c r="K148" s="73"/>
    </row>
    <row r="149" spans="1:11" s="8" customFormat="1" ht="15" customHeight="1">
      <c r="A149" s="103" t="s">
        <v>421</v>
      </c>
      <c r="B149" s="10" t="s">
        <v>292</v>
      </c>
      <c r="C149" s="309">
        <f>SUM(D149:J149)</f>
        <v>7597.4</v>
      </c>
      <c r="D149" s="117">
        <f>SUM(D187)</f>
        <v>4197.4</v>
      </c>
      <c r="E149" s="117">
        <f aca="true" t="shared" si="54" ref="E149:J149">SUM(E187)</f>
        <v>0</v>
      </c>
      <c r="F149" s="315">
        <f t="shared" si="54"/>
        <v>1700</v>
      </c>
      <c r="G149" s="316">
        <f t="shared" si="54"/>
        <v>0</v>
      </c>
      <c r="H149" s="316">
        <f t="shared" si="54"/>
        <v>0</v>
      </c>
      <c r="I149" s="316">
        <f t="shared" si="54"/>
        <v>0</v>
      </c>
      <c r="J149" s="22">
        <f t="shared" si="54"/>
        <v>1700</v>
      </c>
      <c r="K149" s="73"/>
    </row>
    <row r="150" spans="1:11" s="8" customFormat="1" ht="15" customHeight="1">
      <c r="A150" s="166"/>
      <c r="B150" s="432" t="s">
        <v>293</v>
      </c>
      <c r="C150" s="433"/>
      <c r="D150" s="433"/>
      <c r="E150" s="433"/>
      <c r="F150" s="433"/>
      <c r="G150" s="433"/>
      <c r="H150" s="433"/>
      <c r="I150" s="433"/>
      <c r="J150" s="433"/>
      <c r="K150" s="434"/>
    </row>
    <row r="151" spans="1:11" s="39" customFormat="1" ht="33.75" customHeight="1">
      <c r="A151" s="103" t="s">
        <v>422</v>
      </c>
      <c r="B151" s="43" t="s">
        <v>295</v>
      </c>
      <c r="C151" s="309">
        <f>SUM(C152:C154)</f>
        <v>0</v>
      </c>
      <c r="D151" s="97">
        <f>SUM(D152:D154)</f>
        <v>0</v>
      </c>
      <c r="E151" s="97">
        <f aca="true" t="shared" si="55" ref="E151:J151">SUM(E152:E154)</f>
        <v>0</v>
      </c>
      <c r="F151" s="318">
        <f t="shared" si="55"/>
        <v>0</v>
      </c>
      <c r="G151" s="309">
        <f t="shared" si="55"/>
        <v>0</v>
      </c>
      <c r="H151" s="309">
        <f t="shared" si="55"/>
        <v>0</v>
      </c>
      <c r="I151" s="309">
        <f t="shared" si="55"/>
        <v>0</v>
      </c>
      <c r="J151" s="18">
        <f t="shared" si="55"/>
        <v>0</v>
      </c>
      <c r="K151" s="74"/>
    </row>
    <row r="152" spans="1:11" s="8" customFormat="1" ht="15" customHeight="1">
      <c r="A152" s="103" t="s">
        <v>423</v>
      </c>
      <c r="B152" s="10" t="s">
        <v>289</v>
      </c>
      <c r="C152" s="309">
        <f>SUM(D152:J152)</f>
        <v>0</v>
      </c>
      <c r="D152" s="117">
        <f>SUM(D158+D169)</f>
        <v>0</v>
      </c>
      <c r="E152" s="117">
        <f aca="true" t="shared" si="56" ref="E152:J152">SUM(E158+E169)</f>
        <v>0</v>
      </c>
      <c r="F152" s="315">
        <f t="shared" si="56"/>
        <v>0</v>
      </c>
      <c r="G152" s="316">
        <f t="shared" si="56"/>
        <v>0</v>
      </c>
      <c r="H152" s="316">
        <f t="shared" si="56"/>
        <v>0</v>
      </c>
      <c r="I152" s="316">
        <f t="shared" si="56"/>
        <v>0</v>
      </c>
      <c r="J152" s="22">
        <f t="shared" si="56"/>
        <v>0</v>
      </c>
      <c r="K152" s="73"/>
    </row>
    <row r="153" spans="1:11" s="8" customFormat="1" ht="15" customHeight="1">
      <c r="A153" s="103" t="s">
        <v>424</v>
      </c>
      <c r="B153" s="10" t="s">
        <v>290</v>
      </c>
      <c r="C153" s="309">
        <f>SUM(D153:J153)</f>
        <v>0</v>
      </c>
      <c r="D153" s="117"/>
      <c r="E153" s="117"/>
      <c r="F153" s="315"/>
      <c r="G153" s="316"/>
      <c r="H153" s="316"/>
      <c r="I153" s="316"/>
      <c r="J153" s="22"/>
      <c r="K153" s="73"/>
    </row>
    <row r="154" spans="1:11" s="8" customFormat="1" ht="15" customHeight="1">
      <c r="A154" s="103" t="s">
        <v>425</v>
      </c>
      <c r="B154" s="10" t="s">
        <v>291</v>
      </c>
      <c r="C154" s="309">
        <f>SUM(D154:J154)</f>
        <v>0</v>
      </c>
      <c r="D154" s="117">
        <f aca="true" t="shared" si="57" ref="D154:J154">SUM(D160+D170)</f>
        <v>0</v>
      </c>
      <c r="E154" s="117">
        <f t="shared" si="57"/>
        <v>0</v>
      </c>
      <c r="F154" s="315">
        <f>SUM(F160+F170)</f>
        <v>0</v>
      </c>
      <c r="G154" s="316">
        <f t="shared" si="57"/>
        <v>0</v>
      </c>
      <c r="H154" s="316">
        <f t="shared" si="57"/>
        <v>0</v>
      </c>
      <c r="I154" s="316">
        <f t="shared" si="57"/>
        <v>0</v>
      </c>
      <c r="J154" s="22">
        <f t="shared" si="57"/>
        <v>0</v>
      </c>
      <c r="K154" s="73"/>
    </row>
    <row r="155" spans="1:11" s="8" customFormat="1" ht="15" customHeight="1">
      <c r="A155" s="103"/>
      <c r="B155" s="10"/>
      <c r="C155" s="309"/>
      <c r="D155" s="118"/>
      <c r="E155" s="118"/>
      <c r="F155" s="325"/>
      <c r="G155" s="317"/>
      <c r="H155" s="317"/>
      <c r="I155" s="317"/>
      <c r="J155" s="21"/>
      <c r="K155" s="73"/>
    </row>
    <row r="156" spans="1:11" s="8" customFormat="1" ht="15" customHeight="1">
      <c r="A156" s="167"/>
      <c r="B156" s="420" t="s">
        <v>294</v>
      </c>
      <c r="C156" s="421"/>
      <c r="D156" s="421"/>
      <c r="E156" s="421"/>
      <c r="F156" s="421"/>
      <c r="G156" s="421"/>
      <c r="H156" s="421"/>
      <c r="I156" s="421"/>
      <c r="J156" s="421"/>
      <c r="K156" s="422"/>
    </row>
    <row r="157" spans="1:11" s="39" customFormat="1" ht="45.75" customHeight="1">
      <c r="A157" s="103" t="s">
        <v>426</v>
      </c>
      <c r="B157" s="43" t="s">
        <v>572</v>
      </c>
      <c r="C157" s="309">
        <f>SUM(C158:C161)</f>
        <v>0</v>
      </c>
      <c r="D157" s="97">
        <f>SUM(D158:D160)</f>
        <v>0</v>
      </c>
      <c r="E157" s="97">
        <f aca="true" t="shared" si="58" ref="E157:J157">SUM(E158:E160)</f>
        <v>0</v>
      </c>
      <c r="F157" s="318">
        <f t="shared" si="58"/>
        <v>0</v>
      </c>
      <c r="G157" s="309">
        <f t="shared" si="58"/>
        <v>0</v>
      </c>
      <c r="H157" s="309">
        <f t="shared" si="58"/>
        <v>0</v>
      </c>
      <c r="I157" s="309">
        <f t="shared" si="58"/>
        <v>0</v>
      </c>
      <c r="J157" s="18">
        <f t="shared" si="58"/>
        <v>0</v>
      </c>
      <c r="K157" s="73"/>
    </row>
    <row r="158" spans="1:11" s="8" customFormat="1" ht="15" customHeight="1">
      <c r="A158" s="103" t="s">
        <v>427</v>
      </c>
      <c r="B158" s="10" t="s">
        <v>289</v>
      </c>
      <c r="C158" s="309">
        <f>SUM(D158:J158)</f>
        <v>0</v>
      </c>
      <c r="D158" s="152">
        <f>SUM(D163)</f>
        <v>0</v>
      </c>
      <c r="E158" s="152">
        <f aca="true" t="shared" si="59" ref="E158:J158">SUM(E163)</f>
        <v>0</v>
      </c>
      <c r="F158" s="333">
        <f t="shared" si="59"/>
        <v>0</v>
      </c>
      <c r="G158" s="312">
        <f t="shared" si="59"/>
        <v>0</v>
      </c>
      <c r="H158" s="312">
        <f t="shared" si="59"/>
        <v>0</v>
      </c>
      <c r="I158" s="312">
        <f t="shared" si="59"/>
        <v>0</v>
      </c>
      <c r="J158" s="17">
        <f t="shared" si="59"/>
        <v>0</v>
      </c>
      <c r="K158" s="73"/>
    </row>
    <row r="159" spans="1:11" s="8" customFormat="1" ht="15" customHeight="1">
      <c r="A159" s="103" t="s">
        <v>428</v>
      </c>
      <c r="B159" s="10" t="s">
        <v>290</v>
      </c>
      <c r="C159" s="309">
        <f>SUM(D159:J159)</f>
        <v>0</v>
      </c>
      <c r="D159" s="152">
        <f>SUM(D164)</f>
        <v>0</v>
      </c>
      <c r="E159" s="152">
        <f aca="true" t="shared" si="60" ref="E159:J159">SUM(E164)</f>
        <v>0</v>
      </c>
      <c r="F159" s="333">
        <f t="shared" si="60"/>
        <v>0</v>
      </c>
      <c r="G159" s="312">
        <f t="shared" si="60"/>
        <v>0</v>
      </c>
      <c r="H159" s="312">
        <f t="shared" si="60"/>
        <v>0</v>
      </c>
      <c r="I159" s="312">
        <f t="shared" si="60"/>
        <v>0</v>
      </c>
      <c r="J159" s="17">
        <f t="shared" si="60"/>
        <v>0</v>
      </c>
      <c r="K159" s="73"/>
    </row>
    <row r="160" spans="1:11" s="8" customFormat="1" ht="15" customHeight="1">
      <c r="A160" s="103" t="s">
        <v>429</v>
      </c>
      <c r="B160" s="10" t="s">
        <v>291</v>
      </c>
      <c r="C160" s="309">
        <f>SUM(D160:J160)</f>
        <v>0</v>
      </c>
      <c r="D160" s="152">
        <f aca="true" t="shared" si="61" ref="D160:J160">SUM(D165)</f>
        <v>0</v>
      </c>
      <c r="E160" s="152">
        <f t="shared" si="61"/>
        <v>0</v>
      </c>
      <c r="F160" s="333">
        <f t="shared" si="61"/>
        <v>0</v>
      </c>
      <c r="G160" s="312">
        <f t="shared" si="61"/>
        <v>0</v>
      </c>
      <c r="H160" s="312">
        <f t="shared" si="61"/>
        <v>0</v>
      </c>
      <c r="I160" s="312">
        <f t="shared" si="61"/>
        <v>0</v>
      </c>
      <c r="J160" s="17">
        <f t="shared" si="61"/>
        <v>0</v>
      </c>
      <c r="K160" s="73"/>
    </row>
    <row r="161" spans="1:11" s="8" customFormat="1" ht="15" customHeight="1">
      <c r="A161" s="103"/>
      <c r="B161" s="10"/>
      <c r="C161" s="309"/>
      <c r="D161" s="118"/>
      <c r="E161" s="118"/>
      <c r="F161" s="325"/>
      <c r="G161" s="317"/>
      <c r="H161" s="317"/>
      <c r="I161" s="317"/>
      <c r="J161" s="21"/>
      <c r="K161" s="73"/>
    </row>
    <row r="162" spans="1:11" s="8" customFormat="1" ht="50.25" customHeight="1">
      <c r="A162" s="103" t="s">
        <v>636</v>
      </c>
      <c r="B162" s="43" t="s">
        <v>625</v>
      </c>
      <c r="C162" s="309">
        <f>SUM(C163:C166)</f>
        <v>0</v>
      </c>
      <c r="D162" s="97">
        <f>SUM(D163:D165)</f>
        <v>0</v>
      </c>
      <c r="E162" s="97">
        <f aca="true" t="shared" si="62" ref="E162:J162">SUM(E163:E165)</f>
        <v>0</v>
      </c>
      <c r="F162" s="318">
        <f t="shared" si="62"/>
        <v>0</v>
      </c>
      <c r="G162" s="309">
        <f t="shared" si="62"/>
        <v>0</v>
      </c>
      <c r="H162" s="309">
        <f t="shared" si="62"/>
        <v>0</v>
      </c>
      <c r="I162" s="309">
        <f t="shared" si="62"/>
        <v>0</v>
      </c>
      <c r="J162" s="18">
        <f t="shared" si="62"/>
        <v>0</v>
      </c>
      <c r="K162" s="73" t="s">
        <v>45</v>
      </c>
    </row>
    <row r="163" spans="1:11" s="8" customFormat="1" ht="15" customHeight="1">
      <c r="A163" s="103" t="s">
        <v>430</v>
      </c>
      <c r="B163" s="10" t="s">
        <v>289</v>
      </c>
      <c r="C163" s="309">
        <f>SUM(D163:J163)</f>
        <v>0</v>
      </c>
      <c r="D163" s="111"/>
      <c r="E163" s="116"/>
      <c r="F163" s="299"/>
      <c r="G163" s="304"/>
      <c r="H163" s="304"/>
      <c r="I163" s="304"/>
      <c r="J163" s="15"/>
      <c r="K163" s="73"/>
    </row>
    <row r="164" spans="1:11" s="8" customFormat="1" ht="15" customHeight="1">
      <c r="A164" s="103" t="s">
        <v>637</v>
      </c>
      <c r="B164" s="10" t="s">
        <v>290</v>
      </c>
      <c r="C164" s="309">
        <f>SUM(D164:J164)</f>
        <v>0</v>
      </c>
      <c r="D164" s="111"/>
      <c r="E164" s="116"/>
      <c r="F164" s="299"/>
      <c r="G164" s="304"/>
      <c r="H164" s="304"/>
      <c r="I164" s="304"/>
      <c r="J164" s="15"/>
      <c r="K164" s="73"/>
    </row>
    <row r="165" spans="1:11" s="8" customFormat="1" ht="15" customHeight="1">
      <c r="A165" s="103" t="s">
        <v>638</v>
      </c>
      <c r="B165" s="10" t="s">
        <v>291</v>
      </c>
      <c r="C165" s="309">
        <f>SUM(D165:J165)</f>
        <v>0</v>
      </c>
      <c r="D165" s="111"/>
      <c r="E165" s="116"/>
      <c r="F165" s="299"/>
      <c r="G165" s="304"/>
      <c r="H165" s="304"/>
      <c r="I165" s="304"/>
      <c r="J165" s="15"/>
      <c r="K165" s="73"/>
    </row>
    <row r="166" spans="1:11" s="8" customFormat="1" ht="15" customHeight="1">
      <c r="A166" s="103"/>
      <c r="B166" s="10"/>
      <c r="C166" s="309"/>
      <c r="D166" s="118"/>
      <c r="E166" s="118"/>
      <c r="F166" s="325"/>
      <c r="G166" s="317"/>
      <c r="H166" s="317"/>
      <c r="I166" s="317"/>
      <c r="J166" s="21"/>
      <c r="K166" s="73"/>
    </row>
    <row r="167" spans="1:11" s="8" customFormat="1" ht="15" customHeight="1">
      <c r="A167" s="167"/>
      <c r="B167" s="420" t="s">
        <v>305</v>
      </c>
      <c r="C167" s="421"/>
      <c r="D167" s="421"/>
      <c r="E167" s="421"/>
      <c r="F167" s="421"/>
      <c r="G167" s="421"/>
      <c r="H167" s="421"/>
      <c r="I167" s="421"/>
      <c r="J167" s="421"/>
      <c r="K167" s="422"/>
    </row>
    <row r="168" spans="1:11" s="41" customFormat="1" ht="31.5">
      <c r="A168" s="99" t="s">
        <v>639</v>
      </c>
      <c r="B168" s="46" t="s">
        <v>573</v>
      </c>
      <c r="C168" s="318">
        <f aca="true" t="shared" si="63" ref="C168:J168">SUM(C169:C170)</f>
        <v>0</v>
      </c>
      <c r="D168" s="114">
        <f t="shared" si="63"/>
        <v>0</v>
      </c>
      <c r="E168" s="114">
        <f t="shared" si="63"/>
        <v>0</v>
      </c>
      <c r="F168" s="204">
        <f t="shared" si="63"/>
        <v>0</v>
      </c>
      <c r="G168" s="204">
        <f t="shared" si="63"/>
        <v>0</v>
      </c>
      <c r="H168" s="204">
        <f t="shared" si="63"/>
        <v>0</v>
      </c>
      <c r="I168" s="204">
        <f t="shared" si="63"/>
        <v>0</v>
      </c>
      <c r="J168" s="35">
        <f t="shared" si="63"/>
        <v>0</v>
      </c>
      <c r="K168" s="76"/>
    </row>
    <row r="169" spans="1:11" s="14" customFormat="1" ht="15" customHeight="1">
      <c r="A169" s="99" t="s">
        <v>640</v>
      </c>
      <c r="B169" s="10" t="s">
        <v>289</v>
      </c>
      <c r="C169" s="318">
        <f>SUM(D169:J169)</f>
        <v>0</v>
      </c>
      <c r="D169" s="121">
        <f>SUM(D173)</f>
        <v>0</v>
      </c>
      <c r="E169" s="121">
        <f aca="true" t="shared" si="64" ref="E169:J169">SUM(E173)</f>
        <v>0</v>
      </c>
      <c r="F169" s="314">
        <f t="shared" si="64"/>
        <v>0</v>
      </c>
      <c r="G169" s="314">
        <f t="shared" si="64"/>
        <v>0</v>
      </c>
      <c r="H169" s="314">
        <f t="shared" si="64"/>
        <v>0</v>
      </c>
      <c r="I169" s="314">
        <f t="shared" si="64"/>
        <v>0</v>
      </c>
      <c r="J169" s="29">
        <f t="shared" si="64"/>
        <v>0</v>
      </c>
      <c r="K169" s="77"/>
    </row>
    <row r="170" spans="1:11" s="14" customFormat="1" ht="15" customHeight="1">
      <c r="A170" s="99" t="s">
        <v>431</v>
      </c>
      <c r="B170" s="10" t="s">
        <v>291</v>
      </c>
      <c r="C170" s="318">
        <f>SUM(D170:J170)</f>
        <v>0</v>
      </c>
      <c r="D170" s="121">
        <f>SUM(D174)</f>
        <v>0</v>
      </c>
      <c r="E170" s="121">
        <f aca="true" t="shared" si="65" ref="E170:J170">SUM(E174)</f>
        <v>0</v>
      </c>
      <c r="F170" s="314">
        <f t="shared" si="65"/>
        <v>0</v>
      </c>
      <c r="G170" s="314">
        <f t="shared" si="65"/>
        <v>0</v>
      </c>
      <c r="H170" s="314">
        <f t="shared" si="65"/>
        <v>0</v>
      </c>
      <c r="I170" s="314">
        <f t="shared" si="65"/>
        <v>0</v>
      </c>
      <c r="J170" s="29">
        <f t="shared" si="65"/>
        <v>0</v>
      </c>
      <c r="K170" s="77"/>
    </row>
    <row r="171" spans="1:11" s="8" customFormat="1" ht="15" customHeight="1">
      <c r="A171" s="103"/>
      <c r="B171" s="10"/>
      <c r="C171" s="309"/>
      <c r="D171" s="118"/>
      <c r="E171" s="118"/>
      <c r="F171" s="325"/>
      <c r="G171" s="317"/>
      <c r="H171" s="317"/>
      <c r="I171" s="317"/>
      <c r="J171" s="21"/>
      <c r="K171" s="73"/>
    </row>
    <row r="172" spans="1:11" s="8" customFormat="1" ht="98.25" customHeight="1">
      <c r="A172" s="104" t="s">
        <v>432</v>
      </c>
      <c r="B172" s="122" t="s">
        <v>626</v>
      </c>
      <c r="C172" s="318">
        <f>SUM(D172:J172)</f>
        <v>0</v>
      </c>
      <c r="D172" s="114">
        <f aca="true" t="shared" si="66" ref="D172:J172">SUM(D173:D174)</f>
        <v>0</v>
      </c>
      <c r="E172" s="114">
        <f t="shared" si="66"/>
        <v>0</v>
      </c>
      <c r="F172" s="204">
        <f t="shared" si="66"/>
        <v>0</v>
      </c>
      <c r="G172" s="204">
        <f t="shared" si="66"/>
        <v>0</v>
      </c>
      <c r="H172" s="204">
        <f t="shared" si="66"/>
        <v>0</v>
      </c>
      <c r="I172" s="204">
        <f t="shared" si="66"/>
        <v>0</v>
      </c>
      <c r="J172" s="35">
        <f t="shared" si="66"/>
        <v>0</v>
      </c>
      <c r="K172" s="73" t="s">
        <v>45</v>
      </c>
    </row>
    <row r="173" spans="1:11" s="8" customFormat="1" ht="15" customHeight="1">
      <c r="A173" s="104" t="s">
        <v>433</v>
      </c>
      <c r="B173" s="10" t="s">
        <v>289</v>
      </c>
      <c r="C173" s="318">
        <f>SUM(D173:J173)</f>
        <v>0</v>
      </c>
      <c r="D173" s="114">
        <f>SUM(D176+D179)</f>
        <v>0</v>
      </c>
      <c r="E173" s="114">
        <f aca="true" t="shared" si="67" ref="E173:J173">SUM(E176+E179)</f>
        <v>0</v>
      </c>
      <c r="F173" s="204">
        <f t="shared" si="67"/>
        <v>0</v>
      </c>
      <c r="G173" s="204">
        <f t="shared" si="67"/>
        <v>0</v>
      </c>
      <c r="H173" s="204">
        <f t="shared" si="67"/>
        <v>0</v>
      </c>
      <c r="I173" s="204">
        <f t="shared" si="67"/>
        <v>0</v>
      </c>
      <c r="J173" s="35">
        <f t="shared" si="67"/>
        <v>0</v>
      </c>
      <c r="K173" s="77"/>
    </row>
    <row r="174" spans="1:11" s="8" customFormat="1" ht="15" customHeight="1">
      <c r="A174" s="104" t="s">
        <v>434</v>
      </c>
      <c r="B174" s="10" t="s">
        <v>291</v>
      </c>
      <c r="C174" s="318">
        <f>SUM(D174:J174)</f>
        <v>0</v>
      </c>
      <c r="D174" s="114">
        <f>SUM(D177+D180)</f>
        <v>0</v>
      </c>
      <c r="E174" s="114">
        <f aca="true" t="shared" si="68" ref="E174:J174">SUM(E177+E180)</f>
        <v>0</v>
      </c>
      <c r="F174" s="204">
        <f t="shared" si="68"/>
        <v>0</v>
      </c>
      <c r="G174" s="204">
        <f t="shared" si="68"/>
        <v>0</v>
      </c>
      <c r="H174" s="204">
        <f t="shared" si="68"/>
        <v>0</v>
      </c>
      <c r="I174" s="204">
        <f t="shared" si="68"/>
        <v>0</v>
      </c>
      <c r="J174" s="35">
        <f t="shared" si="68"/>
        <v>0</v>
      </c>
      <c r="K174" s="77"/>
    </row>
    <row r="175" spans="1:11" s="8" customFormat="1" ht="15" customHeight="1">
      <c r="A175" s="104"/>
      <c r="B175" s="93" t="s">
        <v>583</v>
      </c>
      <c r="C175" s="318"/>
      <c r="D175" s="95"/>
      <c r="E175" s="95"/>
      <c r="F175" s="315"/>
      <c r="G175" s="315"/>
      <c r="H175" s="315"/>
      <c r="I175" s="315"/>
      <c r="J175" s="34"/>
      <c r="K175" s="77"/>
    </row>
    <row r="176" spans="1:11" s="8" customFormat="1" ht="15" customHeight="1">
      <c r="A176" s="104" t="s">
        <v>435</v>
      </c>
      <c r="B176" s="10" t="s">
        <v>289</v>
      </c>
      <c r="C176" s="318">
        <f>SUM(D176:J176)</f>
        <v>0</v>
      </c>
      <c r="D176" s="95"/>
      <c r="E176" s="95"/>
      <c r="F176" s="315">
        <f>500-500</f>
        <v>0</v>
      </c>
      <c r="G176" s="315"/>
      <c r="H176" s="315"/>
      <c r="I176" s="315"/>
      <c r="J176" s="34"/>
      <c r="K176" s="77"/>
    </row>
    <row r="177" spans="1:11" s="8" customFormat="1" ht="15" customHeight="1">
      <c r="A177" s="104" t="s">
        <v>436</v>
      </c>
      <c r="B177" s="10" t="s">
        <v>291</v>
      </c>
      <c r="C177" s="318">
        <f>SUM(D177:J177)</f>
        <v>0</v>
      </c>
      <c r="D177" s="95"/>
      <c r="E177" s="95"/>
      <c r="F177" s="315"/>
      <c r="G177" s="315"/>
      <c r="H177" s="315"/>
      <c r="I177" s="315"/>
      <c r="J177" s="34"/>
      <c r="K177" s="77"/>
    </row>
    <row r="178" spans="1:11" s="8" customFormat="1" ht="35.25" customHeight="1">
      <c r="A178" s="104"/>
      <c r="B178" s="93" t="s">
        <v>584</v>
      </c>
      <c r="C178" s="318"/>
      <c r="D178" s="95"/>
      <c r="E178" s="95"/>
      <c r="F178" s="315"/>
      <c r="G178" s="315"/>
      <c r="H178" s="315"/>
      <c r="I178" s="315"/>
      <c r="J178" s="34"/>
      <c r="K178" s="77"/>
    </row>
    <row r="179" spans="1:11" s="8" customFormat="1" ht="15" customHeight="1">
      <c r="A179" s="104" t="s">
        <v>437</v>
      </c>
      <c r="B179" s="10" t="s">
        <v>289</v>
      </c>
      <c r="C179" s="318">
        <f>SUM(D179:J179)</f>
        <v>0</v>
      </c>
      <c r="D179" s="95"/>
      <c r="E179" s="95"/>
      <c r="F179" s="315">
        <f>4500-4500</f>
        <v>0</v>
      </c>
      <c r="G179" s="315"/>
      <c r="H179" s="315"/>
      <c r="I179" s="315"/>
      <c r="J179" s="34"/>
      <c r="K179" s="77"/>
    </row>
    <row r="180" spans="1:11" s="8" customFormat="1" ht="15" customHeight="1">
      <c r="A180" s="104" t="s">
        <v>438</v>
      </c>
      <c r="B180" s="10" t="s">
        <v>291</v>
      </c>
      <c r="C180" s="318">
        <f>SUM(D180:J180)</f>
        <v>0</v>
      </c>
      <c r="D180" s="95"/>
      <c r="E180" s="95"/>
      <c r="F180" s="315"/>
      <c r="G180" s="315"/>
      <c r="H180" s="315"/>
      <c r="I180" s="315"/>
      <c r="J180" s="34"/>
      <c r="K180" s="77"/>
    </row>
    <row r="181" spans="1:11" s="8" customFormat="1" ht="15" customHeight="1">
      <c r="A181" s="103"/>
      <c r="B181" s="10"/>
      <c r="C181" s="308"/>
      <c r="D181" s="155"/>
      <c r="E181" s="155"/>
      <c r="F181" s="121"/>
      <c r="G181" s="155"/>
      <c r="H181" s="155"/>
      <c r="I181" s="155"/>
      <c r="J181" s="19"/>
      <c r="K181" s="73"/>
    </row>
    <row r="182" spans="1:11" s="8" customFormat="1" ht="15" customHeight="1">
      <c r="A182" s="166"/>
      <c r="B182" s="432" t="s">
        <v>297</v>
      </c>
      <c r="C182" s="433"/>
      <c r="D182" s="433"/>
      <c r="E182" s="433"/>
      <c r="F182" s="433"/>
      <c r="G182" s="433"/>
      <c r="H182" s="433"/>
      <c r="I182" s="433"/>
      <c r="J182" s="433"/>
      <c r="K182" s="434"/>
    </row>
    <row r="183" spans="1:11" s="39" customFormat="1" ht="22.5" customHeight="1">
      <c r="A183" s="103" t="s">
        <v>439</v>
      </c>
      <c r="B183" s="43" t="s">
        <v>298</v>
      </c>
      <c r="C183" s="309">
        <f>SUM(D183:J183)</f>
        <v>1688831.6636599998</v>
      </c>
      <c r="D183" s="97">
        <f>SUM(D184:D187)</f>
        <v>364991.669</v>
      </c>
      <c r="E183" s="97">
        <f aca="true" t="shared" si="69" ref="E183:J183">SUM(E184:E187)</f>
        <v>311126.389</v>
      </c>
      <c r="F183" s="318">
        <f>SUM(F184:F187)</f>
        <v>334841.80566</v>
      </c>
      <c r="G183" s="309">
        <f t="shared" si="69"/>
        <v>104575</v>
      </c>
      <c r="H183" s="309">
        <f t="shared" si="69"/>
        <v>98859.40000000001</v>
      </c>
      <c r="I183" s="309">
        <f t="shared" si="69"/>
        <v>103939.4</v>
      </c>
      <c r="J183" s="18">
        <f t="shared" si="69"/>
        <v>370498</v>
      </c>
      <c r="K183" s="72"/>
    </row>
    <row r="184" spans="1:11" s="8" customFormat="1" ht="15" customHeight="1">
      <c r="A184" s="103" t="s">
        <v>440</v>
      </c>
      <c r="B184" s="10" t="s">
        <v>289</v>
      </c>
      <c r="C184" s="309">
        <f>SUM(D184:J184)</f>
        <v>852075.53766</v>
      </c>
      <c r="D184" s="96">
        <f aca="true" t="shared" si="70" ref="D184:J184">SUM(D190+D201+D231+D242+D245+D260+D271+D275+D276+D282+D289)</f>
        <v>163755.794</v>
      </c>
      <c r="E184" s="96">
        <f t="shared" si="70"/>
        <v>130901.93800000001</v>
      </c>
      <c r="F184" s="325">
        <f t="shared" si="70"/>
        <v>102999.00566000002</v>
      </c>
      <c r="G184" s="325">
        <f t="shared" si="70"/>
        <v>104575</v>
      </c>
      <c r="H184" s="325">
        <f t="shared" si="70"/>
        <v>98859.40000000001</v>
      </c>
      <c r="I184" s="325">
        <f t="shared" si="70"/>
        <v>103939.4</v>
      </c>
      <c r="J184" s="33">
        <f t="shared" si="70"/>
        <v>147045</v>
      </c>
      <c r="K184" s="79"/>
    </row>
    <row r="185" spans="1:11" s="8" customFormat="1" ht="15" customHeight="1">
      <c r="A185" s="103" t="s">
        <v>441</v>
      </c>
      <c r="B185" s="10" t="s">
        <v>290</v>
      </c>
      <c r="C185" s="309">
        <f>SUM(D185:J185)</f>
        <v>7508.806</v>
      </c>
      <c r="D185" s="96">
        <f aca="true" t="shared" si="71" ref="D185:J185">SUM(D232+D262+D291)</f>
        <v>1155.675</v>
      </c>
      <c r="E185" s="96">
        <f t="shared" si="71"/>
        <v>2441.431</v>
      </c>
      <c r="F185" s="325">
        <f t="shared" si="71"/>
        <v>3911.7</v>
      </c>
      <c r="G185" s="325">
        <f t="shared" si="71"/>
        <v>0</v>
      </c>
      <c r="H185" s="325">
        <f t="shared" si="71"/>
        <v>0</v>
      </c>
      <c r="I185" s="325">
        <f t="shared" si="71"/>
        <v>0</v>
      </c>
      <c r="J185" s="33">
        <f t="shared" si="71"/>
        <v>0</v>
      </c>
      <c r="K185" s="73"/>
    </row>
    <row r="186" spans="1:11" s="8" customFormat="1" ht="15" customHeight="1">
      <c r="A186" s="103" t="s">
        <v>442</v>
      </c>
      <c r="B186" s="10" t="s">
        <v>291</v>
      </c>
      <c r="C186" s="309">
        <f>SUM(D186:J186)</f>
        <v>821649.92</v>
      </c>
      <c r="D186" s="96">
        <f aca="true" t="shared" si="72" ref="D186:J186">SUM(D191+D202+D233+D239+D252+D257+D261+D272+D277+D283+D290)</f>
        <v>195882.8</v>
      </c>
      <c r="E186" s="96">
        <f t="shared" si="72"/>
        <v>177783.02000000002</v>
      </c>
      <c r="F186" s="325">
        <f t="shared" si="72"/>
        <v>226231.1</v>
      </c>
      <c r="G186" s="325">
        <f t="shared" si="72"/>
        <v>0</v>
      </c>
      <c r="H186" s="325">
        <f t="shared" si="72"/>
        <v>0</v>
      </c>
      <c r="I186" s="325">
        <f t="shared" si="72"/>
        <v>0</v>
      </c>
      <c r="J186" s="33">
        <f t="shared" si="72"/>
        <v>221753</v>
      </c>
      <c r="K186" s="73"/>
    </row>
    <row r="187" spans="1:11" s="8" customFormat="1" ht="15" customHeight="1">
      <c r="A187" s="103" t="s">
        <v>443</v>
      </c>
      <c r="B187" s="12" t="s">
        <v>292</v>
      </c>
      <c r="C187" s="309">
        <f>SUM(D187:J187)</f>
        <v>7597.4</v>
      </c>
      <c r="D187" s="96">
        <f aca="true" t="shared" si="73" ref="D187:J187">SUM(D249)</f>
        <v>4197.4</v>
      </c>
      <c r="E187" s="96">
        <f t="shared" si="73"/>
        <v>0</v>
      </c>
      <c r="F187" s="325">
        <f t="shared" si="73"/>
        <v>1700</v>
      </c>
      <c r="G187" s="325">
        <f t="shared" si="73"/>
        <v>0</v>
      </c>
      <c r="H187" s="325">
        <f t="shared" si="73"/>
        <v>0</v>
      </c>
      <c r="I187" s="325">
        <f t="shared" si="73"/>
        <v>0</v>
      </c>
      <c r="J187" s="33">
        <f t="shared" si="73"/>
        <v>1700</v>
      </c>
      <c r="K187" s="73"/>
    </row>
    <row r="188" spans="1:11" s="8" customFormat="1" ht="15" customHeight="1">
      <c r="A188" s="103"/>
      <c r="B188" s="12"/>
      <c r="C188" s="309"/>
      <c r="D188" s="117"/>
      <c r="E188" s="117"/>
      <c r="F188" s="315"/>
      <c r="G188" s="316"/>
      <c r="H188" s="316"/>
      <c r="I188" s="316"/>
      <c r="J188" s="22"/>
      <c r="K188" s="73"/>
    </row>
    <row r="189" spans="1:11" s="39" customFormat="1" ht="50.25" customHeight="1">
      <c r="A189" s="104" t="s">
        <v>444</v>
      </c>
      <c r="B189" s="43" t="s">
        <v>627</v>
      </c>
      <c r="C189" s="308">
        <f>SUM(C190:C191)</f>
        <v>11913.233</v>
      </c>
      <c r="D189" s="115">
        <f>SUM(D190:D191)</f>
        <v>0</v>
      </c>
      <c r="E189" s="115">
        <f aca="true" t="shared" si="74" ref="E189:J189">SUM(E190:E191)</f>
        <v>0</v>
      </c>
      <c r="F189" s="204">
        <f t="shared" si="74"/>
        <v>970.378</v>
      </c>
      <c r="G189" s="308">
        <f t="shared" si="74"/>
        <v>2392.855</v>
      </c>
      <c r="H189" s="308">
        <f t="shared" si="74"/>
        <v>3550</v>
      </c>
      <c r="I189" s="308">
        <f t="shared" si="74"/>
        <v>2000</v>
      </c>
      <c r="J189" s="16">
        <f t="shared" si="74"/>
        <v>3000</v>
      </c>
      <c r="K189" s="77" t="s">
        <v>50</v>
      </c>
    </row>
    <row r="190" spans="1:11" s="8" customFormat="1" ht="15" customHeight="1">
      <c r="A190" s="104" t="s">
        <v>445</v>
      </c>
      <c r="B190" s="10" t="s">
        <v>289</v>
      </c>
      <c r="C190" s="309">
        <f>SUM(D190:J190)</f>
        <v>11913.233</v>
      </c>
      <c r="D190" s="155">
        <f aca="true" t="shared" si="75" ref="D190:J190">SUM(D193:D198)</f>
        <v>0</v>
      </c>
      <c r="E190" s="155">
        <f t="shared" si="75"/>
        <v>0</v>
      </c>
      <c r="F190" s="314">
        <f t="shared" si="75"/>
        <v>970.378</v>
      </c>
      <c r="G190" s="324">
        <f t="shared" si="75"/>
        <v>2392.855</v>
      </c>
      <c r="H190" s="324">
        <f t="shared" si="75"/>
        <v>3550</v>
      </c>
      <c r="I190" s="324">
        <f t="shared" si="75"/>
        <v>2000</v>
      </c>
      <c r="J190" s="19">
        <f t="shared" si="75"/>
        <v>3000</v>
      </c>
      <c r="K190" s="73"/>
    </row>
    <row r="191" spans="1:11" s="8" customFormat="1" ht="15" customHeight="1">
      <c r="A191" s="104" t="s">
        <v>446</v>
      </c>
      <c r="B191" s="10" t="s">
        <v>291</v>
      </c>
      <c r="C191" s="309">
        <f aca="true" t="shared" si="76" ref="C191:C198">SUM(D191:J191)</f>
        <v>0</v>
      </c>
      <c r="D191" s="155"/>
      <c r="E191" s="155"/>
      <c r="F191" s="314"/>
      <c r="G191" s="324"/>
      <c r="H191" s="324"/>
      <c r="I191" s="324"/>
      <c r="J191" s="19"/>
      <c r="K191" s="73"/>
    </row>
    <row r="192" spans="1:11" s="13" customFormat="1" ht="15" customHeight="1">
      <c r="A192" s="103"/>
      <c r="B192" s="12" t="s">
        <v>301</v>
      </c>
      <c r="C192" s="309">
        <f t="shared" si="76"/>
        <v>0</v>
      </c>
      <c r="D192" s="154"/>
      <c r="E192" s="154"/>
      <c r="F192" s="320"/>
      <c r="G192" s="323"/>
      <c r="H192" s="323"/>
      <c r="I192" s="323"/>
      <c r="J192" s="20"/>
      <c r="K192" s="75"/>
    </row>
    <row r="193" spans="1:11" s="8" customFormat="1" ht="15" customHeight="1">
      <c r="A193" s="103" t="s">
        <v>447</v>
      </c>
      <c r="B193" s="10" t="s">
        <v>311</v>
      </c>
      <c r="C193" s="309">
        <f t="shared" si="76"/>
        <v>3550</v>
      </c>
      <c r="D193" s="155"/>
      <c r="E193" s="155"/>
      <c r="F193" s="314"/>
      <c r="G193" s="324"/>
      <c r="H193" s="324">
        <f>3550</f>
        <v>3550</v>
      </c>
      <c r="I193" s="324"/>
      <c r="J193" s="19"/>
      <c r="K193" s="73"/>
    </row>
    <row r="194" spans="1:11" s="8" customFormat="1" ht="15" customHeight="1">
      <c r="A194" s="103" t="s">
        <v>448</v>
      </c>
      <c r="B194" s="10" t="s">
        <v>312</v>
      </c>
      <c r="C194" s="309">
        <f t="shared" si="76"/>
        <v>2000</v>
      </c>
      <c r="D194" s="155"/>
      <c r="E194" s="155"/>
      <c r="F194" s="314"/>
      <c r="G194" s="324"/>
      <c r="H194" s="324"/>
      <c r="I194" s="324">
        <f>2000</f>
        <v>2000</v>
      </c>
      <c r="J194" s="19"/>
      <c r="K194" s="73"/>
    </row>
    <row r="195" spans="1:11" s="8" customFormat="1" ht="15" customHeight="1">
      <c r="A195" s="103" t="s">
        <v>449</v>
      </c>
      <c r="B195" s="10" t="s">
        <v>310</v>
      </c>
      <c r="C195" s="309">
        <f t="shared" si="76"/>
        <v>1863.2330000000002</v>
      </c>
      <c r="D195" s="155"/>
      <c r="E195" s="155"/>
      <c r="F195" s="314">
        <f>970.378</f>
        <v>970.378</v>
      </c>
      <c r="G195" s="324">
        <f>892.855</f>
        <v>892.855</v>
      </c>
      <c r="H195" s="324"/>
      <c r="I195" s="324"/>
      <c r="J195" s="19"/>
      <c r="K195" s="73"/>
    </row>
    <row r="196" spans="1:11" s="8" customFormat="1" ht="15" customHeight="1">
      <c r="A196" s="103" t="s">
        <v>450</v>
      </c>
      <c r="B196" s="10" t="s">
        <v>375</v>
      </c>
      <c r="C196" s="309">
        <f t="shared" si="76"/>
        <v>1500</v>
      </c>
      <c r="D196" s="155"/>
      <c r="E196" s="155"/>
      <c r="F196" s="314"/>
      <c r="G196" s="324">
        <v>1500</v>
      </c>
      <c r="H196" s="324"/>
      <c r="I196" s="324"/>
      <c r="J196" s="19"/>
      <c r="K196" s="73"/>
    </row>
    <row r="197" spans="1:11" s="8" customFormat="1" ht="15" customHeight="1">
      <c r="A197" s="103" t="s">
        <v>451</v>
      </c>
      <c r="B197" s="10" t="s">
        <v>674</v>
      </c>
      <c r="C197" s="309">
        <f t="shared" si="76"/>
        <v>0</v>
      </c>
      <c r="D197" s="155"/>
      <c r="E197" s="155"/>
      <c r="F197" s="314"/>
      <c r="G197" s="324"/>
      <c r="H197" s="324"/>
      <c r="I197" s="324"/>
      <c r="J197" s="19"/>
      <c r="K197" s="73"/>
    </row>
    <row r="198" spans="1:11" s="8" customFormat="1" ht="15" customHeight="1">
      <c r="A198" s="103" t="s">
        <v>452</v>
      </c>
      <c r="B198" s="10" t="s">
        <v>376</v>
      </c>
      <c r="C198" s="309">
        <f t="shared" si="76"/>
        <v>3000</v>
      </c>
      <c r="D198" s="155"/>
      <c r="E198" s="155"/>
      <c r="F198" s="314"/>
      <c r="G198" s="324"/>
      <c r="H198" s="324"/>
      <c r="I198" s="324"/>
      <c r="J198" s="19">
        <v>3000</v>
      </c>
      <c r="K198" s="73"/>
    </row>
    <row r="199" spans="1:11" s="8" customFormat="1" ht="15" customHeight="1">
      <c r="A199" s="103"/>
      <c r="B199" s="10"/>
      <c r="C199" s="309"/>
      <c r="D199" s="155"/>
      <c r="E199" s="155"/>
      <c r="F199" s="314"/>
      <c r="G199" s="324"/>
      <c r="H199" s="324"/>
      <c r="I199" s="324"/>
      <c r="J199" s="19"/>
      <c r="K199" s="73"/>
    </row>
    <row r="200" spans="1:11" s="39" customFormat="1" ht="94.5">
      <c r="A200" s="103" t="s">
        <v>453</v>
      </c>
      <c r="B200" s="43" t="s">
        <v>628</v>
      </c>
      <c r="C200" s="308">
        <f>SUM(C201:C202)</f>
        <v>36025.785</v>
      </c>
      <c r="D200" s="115">
        <f aca="true" t="shared" si="77" ref="D200:J200">SUM(D201:D202)</f>
        <v>8429.987000000001</v>
      </c>
      <c r="E200" s="114">
        <f>SUM(E201:E202)</f>
        <v>8229.652999999998</v>
      </c>
      <c r="F200" s="204">
        <f t="shared" si="77"/>
        <v>4359</v>
      </c>
      <c r="G200" s="308">
        <f t="shared" si="77"/>
        <v>10007.145</v>
      </c>
      <c r="H200" s="308">
        <f t="shared" si="77"/>
        <v>0</v>
      </c>
      <c r="I200" s="308">
        <f t="shared" si="77"/>
        <v>5000</v>
      </c>
      <c r="J200" s="16">
        <f t="shared" si="77"/>
        <v>0</v>
      </c>
      <c r="K200" s="77" t="s">
        <v>49</v>
      </c>
    </row>
    <row r="201" spans="1:11" s="8" customFormat="1" ht="15" customHeight="1">
      <c r="A201" s="103" t="s">
        <v>454</v>
      </c>
      <c r="B201" s="10" t="s">
        <v>289</v>
      </c>
      <c r="C201" s="309">
        <f>SUM(D201:J201)</f>
        <v>34001.985</v>
      </c>
      <c r="D201" s="95">
        <v>7281.987</v>
      </c>
      <c r="E201" s="95">
        <f aca="true" t="shared" si="78" ref="E201:J201">E204+E219</f>
        <v>7353.852999999999</v>
      </c>
      <c r="F201" s="315">
        <f t="shared" si="78"/>
        <v>4359</v>
      </c>
      <c r="G201" s="315">
        <f t="shared" si="78"/>
        <v>10007.145</v>
      </c>
      <c r="H201" s="315">
        <f t="shared" si="78"/>
        <v>0</v>
      </c>
      <c r="I201" s="315">
        <f t="shared" si="78"/>
        <v>5000</v>
      </c>
      <c r="J201" s="95">
        <f t="shared" si="78"/>
        <v>0</v>
      </c>
      <c r="K201" s="79"/>
    </row>
    <row r="202" spans="1:11" s="8" customFormat="1" ht="15" customHeight="1">
      <c r="A202" s="103" t="s">
        <v>455</v>
      </c>
      <c r="B202" s="10" t="s">
        <v>291</v>
      </c>
      <c r="C202" s="309">
        <f>SUM(D202:J202)</f>
        <v>2023.8</v>
      </c>
      <c r="D202" s="95">
        <v>1148</v>
      </c>
      <c r="E202" s="95">
        <v>875.8</v>
      </c>
      <c r="F202" s="315"/>
      <c r="G202" s="316"/>
      <c r="H202" s="316"/>
      <c r="I202" s="316"/>
      <c r="J202" s="22"/>
      <c r="K202" s="79"/>
    </row>
    <row r="203" spans="1:11" s="39" customFormat="1" ht="15" customHeight="1">
      <c r="A203" s="100"/>
      <c r="B203" s="94" t="s">
        <v>387</v>
      </c>
      <c r="C203" s="309">
        <f>SUM(D203:J203)</f>
        <v>32611.585000000003</v>
      </c>
      <c r="D203" s="114">
        <f aca="true" t="shared" si="79" ref="D203:J203">SUM(D205:D218)</f>
        <v>8429.987000000001</v>
      </c>
      <c r="E203" s="114">
        <f>SUM(E205:E218)</f>
        <v>7174.4529999999995</v>
      </c>
      <c r="F203" s="204">
        <f>SUM(F205:F218)</f>
        <v>2400</v>
      </c>
      <c r="G203" s="204">
        <f>SUM(G205:G218)</f>
        <v>9607.145</v>
      </c>
      <c r="H203" s="204">
        <f t="shared" si="79"/>
        <v>0</v>
      </c>
      <c r="I203" s="204">
        <f t="shared" si="79"/>
        <v>5000</v>
      </c>
      <c r="J203" s="35">
        <f t="shared" si="79"/>
        <v>0</v>
      </c>
      <c r="K203" s="74"/>
    </row>
    <row r="204" spans="1:11" s="13" customFormat="1" ht="20.25" customHeight="1">
      <c r="A204" s="100"/>
      <c r="B204" s="12" t="s">
        <v>388</v>
      </c>
      <c r="C204" s="335">
        <f>SUM(D204:J204)</f>
        <v>30587.785</v>
      </c>
      <c r="D204" s="154">
        <f>D203-1148</f>
        <v>7281.987000000001</v>
      </c>
      <c r="E204" s="153">
        <f>E203-875.8</f>
        <v>6298.652999999999</v>
      </c>
      <c r="F204" s="320">
        <f>F203</f>
        <v>2400</v>
      </c>
      <c r="G204" s="323">
        <f>G203</f>
        <v>9607.145</v>
      </c>
      <c r="H204" s="323">
        <f>H203</f>
        <v>0</v>
      </c>
      <c r="I204" s="323">
        <f>I203</f>
        <v>5000</v>
      </c>
      <c r="J204" s="20">
        <f>J203</f>
        <v>0</v>
      </c>
      <c r="K204" s="75"/>
    </row>
    <row r="205" spans="1:11" s="13" customFormat="1" ht="15" customHeight="1">
      <c r="A205" s="103" t="s">
        <v>456</v>
      </c>
      <c r="B205" s="28" t="s">
        <v>43</v>
      </c>
      <c r="C205" s="318">
        <f aca="true" t="shared" si="80" ref="C205:C218">SUM(D205:J205)</f>
        <v>5662.9439999999995</v>
      </c>
      <c r="D205" s="95">
        <v>2785.291</v>
      </c>
      <c r="E205" s="124">
        <f>2877.653</f>
        <v>2877.653</v>
      </c>
      <c r="F205" s="314">
        <f>2300-186.99-1328.01-785</f>
        <v>0</v>
      </c>
      <c r="G205" s="327"/>
      <c r="H205" s="327"/>
      <c r="I205" s="327"/>
      <c r="J205" s="123"/>
      <c r="K205" s="75"/>
    </row>
    <row r="206" spans="1:11" s="13" customFormat="1" ht="15" customHeight="1">
      <c r="A206" s="103" t="s">
        <v>457</v>
      </c>
      <c r="B206" s="12" t="s">
        <v>377</v>
      </c>
      <c r="C206" s="309">
        <f t="shared" si="80"/>
        <v>1998.382</v>
      </c>
      <c r="D206" s="95">
        <v>1998.382</v>
      </c>
      <c r="E206" s="153"/>
      <c r="F206" s="320"/>
      <c r="G206" s="323"/>
      <c r="H206" s="323"/>
      <c r="I206" s="323"/>
      <c r="J206" s="20"/>
      <c r="K206" s="75"/>
    </row>
    <row r="207" spans="1:11" s="8" customFormat="1" ht="15.75">
      <c r="A207" s="103" t="s">
        <v>458</v>
      </c>
      <c r="B207" s="10" t="s">
        <v>313</v>
      </c>
      <c r="C207" s="309">
        <f t="shared" si="80"/>
        <v>739</v>
      </c>
      <c r="D207" s="121">
        <f>1000-535</f>
        <v>465</v>
      </c>
      <c r="E207" s="121"/>
      <c r="F207" s="314">
        <f>274</f>
        <v>274</v>
      </c>
      <c r="G207" s="324"/>
      <c r="H207" s="324"/>
      <c r="I207" s="324"/>
      <c r="J207" s="19"/>
      <c r="K207" s="73"/>
    </row>
    <row r="208" spans="1:11" s="8" customFormat="1" ht="15.75">
      <c r="A208" s="103" t="s">
        <v>459</v>
      </c>
      <c r="B208" s="10" t="s">
        <v>314</v>
      </c>
      <c r="C208" s="309">
        <f t="shared" si="80"/>
        <v>5031.314</v>
      </c>
      <c r="D208" s="121">
        <f>1383.314+1148</f>
        <v>2531.3140000000003</v>
      </c>
      <c r="E208" s="121"/>
      <c r="F208" s="314"/>
      <c r="G208" s="324">
        <v>2500</v>
      </c>
      <c r="H208" s="324"/>
      <c r="I208" s="324"/>
      <c r="J208" s="19"/>
      <c r="K208" s="73"/>
    </row>
    <row r="209" spans="1:11" s="8" customFormat="1" ht="15.75">
      <c r="A209" s="103" t="s">
        <v>460</v>
      </c>
      <c r="B209" s="10" t="s">
        <v>306</v>
      </c>
      <c r="C209" s="309">
        <f t="shared" si="80"/>
        <v>909</v>
      </c>
      <c r="D209" s="121"/>
      <c r="E209" s="121">
        <f>875.8+624.2-591</f>
        <v>909</v>
      </c>
      <c r="F209" s="314"/>
      <c r="G209" s="324"/>
      <c r="H209" s="324"/>
      <c r="I209" s="324"/>
      <c r="J209" s="19"/>
      <c r="K209" s="73"/>
    </row>
    <row r="210" spans="1:11" s="8" customFormat="1" ht="15.75">
      <c r="A210" s="103" t="s">
        <v>461</v>
      </c>
      <c r="B210" s="32" t="s">
        <v>675</v>
      </c>
      <c r="C210" s="309">
        <f t="shared" si="80"/>
        <v>3387.8</v>
      </c>
      <c r="D210" s="121"/>
      <c r="E210" s="121">
        <f>2000+512+875.8</f>
        <v>3387.8</v>
      </c>
      <c r="F210" s="314"/>
      <c r="G210" s="324"/>
      <c r="H210" s="324"/>
      <c r="I210" s="324"/>
      <c r="J210" s="19"/>
      <c r="K210" s="73"/>
    </row>
    <row r="211" spans="1:11" s="8" customFormat="1" ht="15" customHeight="1">
      <c r="A211" s="103" t="s">
        <v>462</v>
      </c>
      <c r="B211" s="10" t="s">
        <v>87</v>
      </c>
      <c r="C211" s="309">
        <f t="shared" si="80"/>
        <v>2100</v>
      </c>
      <c r="D211" s="121"/>
      <c r="E211" s="121"/>
      <c r="F211" s="314"/>
      <c r="G211" s="324">
        <f>2100</f>
        <v>2100</v>
      </c>
      <c r="H211" s="324"/>
      <c r="I211" s="324"/>
      <c r="J211" s="19"/>
      <c r="K211" s="73"/>
    </row>
    <row r="212" spans="1:11" s="8" customFormat="1" ht="15" customHeight="1">
      <c r="A212" s="103" t="s">
        <v>463</v>
      </c>
      <c r="B212" s="32" t="s">
        <v>44</v>
      </c>
      <c r="C212" s="318">
        <f t="shared" si="80"/>
        <v>1326</v>
      </c>
      <c r="D212" s="121"/>
      <c r="E212" s="121"/>
      <c r="F212" s="314">
        <f>1300+26</f>
        <v>1326</v>
      </c>
      <c r="G212" s="324"/>
      <c r="H212" s="324"/>
      <c r="I212" s="324"/>
      <c r="J212" s="19"/>
      <c r="K212" s="73"/>
    </row>
    <row r="213" spans="1:11" s="8" customFormat="1" ht="15" customHeight="1">
      <c r="A213" s="103" t="s">
        <v>464</v>
      </c>
      <c r="B213" s="10" t="s">
        <v>664</v>
      </c>
      <c r="C213" s="309">
        <f t="shared" si="80"/>
        <v>800</v>
      </c>
      <c r="D213" s="121"/>
      <c r="E213" s="121"/>
      <c r="F213" s="314">
        <f>800</f>
        <v>800</v>
      </c>
      <c r="G213" s="324"/>
      <c r="H213" s="324"/>
      <c r="I213" s="324"/>
      <c r="J213" s="19"/>
      <c r="K213" s="73"/>
    </row>
    <row r="214" spans="1:11" s="8" customFormat="1" ht="15" customHeight="1">
      <c r="A214" s="103" t="s">
        <v>465</v>
      </c>
      <c r="B214" s="345" t="s">
        <v>160</v>
      </c>
      <c r="C214" s="309">
        <f t="shared" si="80"/>
        <v>5000</v>
      </c>
      <c r="D214" s="121"/>
      <c r="E214" s="121"/>
      <c r="F214" s="314"/>
      <c r="G214" s="324"/>
      <c r="H214" s="324"/>
      <c r="I214" s="324">
        <f>5000</f>
        <v>5000</v>
      </c>
      <c r="J214" s="19"/>
      <c r="K214" s="73"/>
    </row>
    <row r="215" spans="1:11" s="8" customFormat="1" ht="15" customHeight="1">
      <c r="A215" s="103" t="s">
        <v>466</v>
      </c>
      <c r="B215" s="10" t="s">
        <v>349</v>
      </c>
      <c r="C215" s="309">
        <f t="shared" si="80"/>
        <v>0</v>
      </c>
      <c r="D215" s="121"/>
      <c r="E215" s="121"/>
      <c r="F215" s="314"/>
      <c r="G215" s="324"/>
      <c r="H215" s="324"/>
      <c r="I215" s="324"/>
      <c r="J215" s="19"/>
      <c r="K215" s="73"/>
    </row>
    <row r="216" spans="1:11" s="8" customFormat="1" ht="15" customHeight="1">
      <c r="A216" s="103" t="s">
        <v>467</v>
      </c>
      <c r="B216" s="345" t="s">
        <v>161</v>
      </c>
      <c r="C216" s="309">
        <f>SUM(D216:J216)</f>
        <v>2007.145</v>
      </c>
      <c r="D216" s="121"/>
      <c r="E216" s="121"/>
      <c r="F216" s="314"/>
      <c r="G216" s="324">
        <f>2007.145</f>
        <v>2007.145</v>
      </c>
      <c r="H216" s="324"/>
      <c r="I216" s="324"/>
      <c r="J216" s="19"/>
      <c r="K216" s="73"/>
    </row>
    <row r="217" spans="1:11" s="8" customFormat="1" ht="15" customHeight="1">
      <c r="A217" s="103" t="s">
        <v>468</v>
      </c>
      <c r="B217" s="10" t="s">
        <v>88</v>
      </c>
      <c r="C217" s="309">
        <f t="shared" si="80"/>
        <v>3000</v>
      </c>
      <c r="D217" s="121"/>
      <c r="E217" s="121"/>
      <c r="F217" s="314"/>
      <c r="G217" s="324">
        <f>3000</f>
        <v>3000</v>
      </c>
      <c r="H217" s="324"/>
      <c r="I217" s="324"/>
      <c r="J217" s="19"/>
      <c r="K217" s="73"/>
    </row>
    <row r="218" spans="1:11" s="8" customFormat="1" ht="15" customHeight="1">
      <c r="A218" s="103" t="s">
        <v>469</v>
      </c>
      <c r="B218" s="10" t="s">
        <v>299</v>
      </c>
      <c r="C218" s="309">
        <f t="shared" si="80"/>
        <v>650</v>
      </c>
      <c r="D218" s="121">
        <v>650</v>
      </c>
      <c r="E218" s="121"/>
      <c r="F218" s="314"/>
      <c r="G218" s="324"/>
      <c r="H218" s="324"/>
      <c r="I218" s="324"/>
      <c r="J218" s="19"/>
      <c r="K218" s="73"/>
    </row>
    <row r="219" spans="1:11" s="7" customFormat="1" ht="32.25" customHeight="1">
      <c r="A219" s="103"/>
      <c r="B219" s="93" t="s">
        <v>386</v>
      </c>
      <c r="C219" s="309">
        <f>SUM(D219:J219)</f>
        <v>3414.2</v>
      </c>
      <c r="D219" s="114">
        <f aca="true" t="shared" si="81" ref="D219:J219">SUM(D220:D228)</f>
        <v>0</v>
      </c>
      <c r="E219" s="114">
        <f>SUM(E220:E228)</f>
        <v>1055.2</v>
      </c>
      <c r="F219" s="204">
        <f>SUM(F220:F228)</f>
        <v>1959</v>
      </c>
      <c r="G219" s="308">
        <f t="shared" si="81"/>
        <v>400</v>
      </c>
      <c r="H219" s="308">
        <f t="shared" si="81"/>
        <v>0</v>
      </c>
      <c r="I219" s="308">
        <f t="shared" si="81"/>
        <v>0</v>
      </c>
      <c r="J219" s="16">
        <f t="shared" si="81"/>
        <v>0</v>
      </c>
      <c r="K219" s="80"/>
    </row>
    <row r="220" spans="1:11" s="8" customFormat="1" ht="15" customHeight="1">
      <c r="A220" s="99" t="s">
        <v>470</v>
      </c>
      <c r="B220" s="11" t="s">
        <v>379</v>
      </c>
      <c r="C220" s="309">
        <f>SUM(D220:J220)</f>
        <v>800</v>
      </c>
      <c r="D220" s="121"/>
      <c r="E220" s="121">
        <f>1000-200</f>
        <v>800</v>
      </c>
      <c r="F220" s="314"/>
      <c r="G220" s="324"/>
      <c r="H220" s="324"/>
      <c r="I220" s="324"/>
      <c r="J220" s="19"/>
      <c r="K220" s="73"/>
    </row>
    <row r="221" spans="1:11" s="8" customFormat="1" ht="15" customHeight="1">
      <c r="A221" s="99" t="s">
        <v>471</v>
      </c>
      <c r="B221" s="11" t="s">
        <v>380</v>
      </c>
      <c r="C221" s="309">
        <f aca="true" t="shared" si="82" ref="C221:C229">SUM(D221:J221)</f>
        <v>374</v>
      </c>
      <c r="D221" s="121"/>
      <c r="E221" s="121"/>
      <c r="F221" s="314">
        <f>400-26</f>
        <v>374</v>
      </c>
      <c r="G221" s="324"/>
      <c r="H221" s="324"/>
      <c r="I221" s="324"/>
      <c r="J221" s="19"/>
      <c r="K221" s="73"/>
    </row>
    <row r="222" spans="1:11" s="8" customFormat="1" ht="15" customHeight="1">
      <c r="A222" s="99" t="s">
        <v>472</v>
      </c>
      <c r="B222" s="11" t="s">
        <v>310</v>
      </c>
      <c r="C222" s="309">
        <f t="shared" si="82"/>
        <v>785</v>
      </c>
      <c r="D222" s="121"/>
      <c r="E222" s="121"/>
      <c r="F222" s="314">
        <f>785</f>
        <v>785</v>
      </c>
      <c r="G222" s="324"/>
      <c r="H222" s="324"/>
      <c r="I222" s="324"/>
      <c r="J222" s="19"/>
      <c r="K222" s="73"/>
    </row>
    <row r="223" spans="1:11" s="8" customFormat="1" ht="15" customHeight="1">
      <c r="A223" s="99" t="s">
        <v>473</v>
      </c>
      <c r="B223" s="11" t="s">
        <v>381</v>
      </c>
      <c r="C223" s="309">
        <f t="shared" si="82"/>
        <v>400</v>
      </c>
      <c r="D223" s="121"/>
      <c r="E223" s="121"/>
      <c r="F223" s="314"/>
      <c r="G223" s="314">
        <v>400</v>
      </c>
      <c r="H223" s="314"/>
      <c r="I223" s="314"/>
      <c r="J223" s="19"/>
      <c r="K223" s="73"/>
    </row>
    <row r="224" spans="1:11" s="8" customFormat="1" ht="15" customHeight="1">
      <c r="A224" s="99" t="s">
        <v>474</v>
      </c>
      <c r="B224" s="90" t="s">
        <v>676</v>
      </c>
      <c r="C224" s="309">
        <f t="shared" si="82"/>
        <v>0</v>
      </c>
      <c r="D224" s="121"/>
      <c r="E224" s="121"/>
      <c r="F224" s="205"/>
      <c r="G224" s="314"/>
      <c r="H224" s="314"/>
      <c r="I224" s="314"/>
      <c r="J224" s="19"/>
      <c r="K224" s="73"/>
    </row>
    <row r="225" spans="1:11" s="8" customFormat="1" ht="15" customHeight="1">
      <c r="A225" s="99" t="s">
        <v>475</v>
      </c>
      <c r="B225" s="11" t="s">
        <v>315</v>
      </c>
      <c r="C225" s="309">
        <f t="shared" si="82"/>
        <v>800</v>
      </c>
      <c r="D225" s="121"/>
      <c r="E225" s="121"/>
      <c r="F225" s="314">
        <v>800</v>
      </c>
      <c r="G225" s="314"/>
      <c r="H225" s="314"/>
      <c r="I225" s="314"/>
      <c r="J225" s="19"/>
      <c r="K225" s="73"/>
    </row>
    <row r="226" spans="1:11" s="8" customFormat="1" ht="15" customHeight="1">
      <c r="A226" s="99" t="s">
        <v>476</v>
      </c>
      <c r="B226" s="11" t="s">
        <v>351</v>
      </c>
      <c r="C226" s="309">
        <f t="shared" si="82"/>
        <v>255.2</v>
      </c>
      <c r="D226" s="121"/>
      <c r="E226" s="121">
        <f>550-110-184.8</f>
        <v>255.2</v>
      </c>
      <c r="F226" s="314"/>
      <c r="G226" s="314"/>
      <c r="H226" s="314"/>
      <c r="I226" s="314"/>
      <c r="J226" s="19"/>
      <c r="K226" s="73"/>
    </row>
    <row r="227" spans="1:11" s="8" customFormat="1" ht="15" customHeight="1">
      <c r="A227" s="99" t="s">
        <v>477</v>
      </c>
      <c r="B227" s="11" t="s">
        <v>352</v>
      </c>
      <c r="C227" s="309">
        <f t="shared" si="82"/>
        <v>0</v>
      </c>
      <c r="D227" s="121"/>
      <c r="E227" s="121"/>
      <c r="F227" s="314"/>
      <c r="G227" s="314"/>
      <c r="H227" s="314"/>
      <c r="I227" s="314"/>
      <c r="J227" s="19"/>
      <c r="K227" s="73"/>
    </row>
    <row r="228" spans="1:11" s="8" customFormat="1" ht="15" customHeight="1">
      <c r="A228" s="99" t="s">
        <v>478</v>
      </c>
      <c r="B228" s="11" t="s">
        <v>382</v>
      </c>
      <c r="C228" s="309">
        <f t="shared" si="82"/>
        <v>0</v>
      </c>
      <c r="D228" s="121"/>
      <c r="E228" s="121"/>
      <c r="F228" s="314"/>
      <c r="G228" s="314"/>
      <c r="H228" s="314"/>
      <c r="I228" s="314"/>
      <c r="J228" s="19"/>
      <c r="K228" s="73"/>
    </row>
    <row r="229" spans="1:11" s="8" customFormat="1" ht="15" customHeight="1">
      <c r="A229" s="104"/>
      <c r="B229" s="5"/>
      <c r="C229" s="309">
        <f t="shared" si="82"/>
        <v>0</v>
      </c>
      <c r="D229" s="155"/>
      <c r="E229" s="121"/>
      <c r="F229" s="314"/>
      <c r="G229" s="324"/>
      <c r="H229" s="324"/>
      <c r="I229" s="324"/>
      <c r="J229" s="19"/>
      <c r="K229" s="73"/>
    </row>
    <row r="230" spans="1:11" s="7" customFormat="1" ht="63" customHeight="1">
      <c r="A230" s="104" t="s">
        <v>479</v>
      </c>
      <c r="B230" s="42" t="s">
        <v>629</v>
      </c>
      <c r="C230" s="308">
        <f>SUM(C231:C233)</f>
        <v>2694.4</v>
      </c>
      <c r="D230" s="115">
        <f>SUM(D231:D232)</f>
        <v>0</v>
      </c>
      <c r="E230" s="114">
        <f>SUM(E231:E233)</f>
        <v>2694.4</v>
      </c>
      <c r="F230" s="204">
        <f>SUM(F231:F232)</f>
        <v>0</v>
      </c>
      <c r="G230" s="204">
        <f>SUM(G231:G232)</f>
        <v>0</v>
      </c>
      <c r="H230" s="204">
        <f>SUM(H231:H232)</f>
        <v>0</v>
      </c>
      <c r="I230" s="204">
        <f>SUM(I231:I232)</f>
        <v>0</v>
      </c>
      <c r="J230" s="35">
        <f>SUM(J231:J232)</f>
        <v>0</v>
      </c>
      <c r="K230" s="77" t="s">
        <v>48</v>
      </c>
    </row>
    <row r="231" spans="1:11" s="8" customFormat="1" ht="15" customHeight="1">
      <c r="A231" s="104" t="s">
        <v>480</v>
      </c>
      <c r="B231" s="10" t="s">
        <v>289</v>
      </c>
      <c r="C231" s="309">
        <f>SUM(D231:J231)</f>
        <v>700</v>
      </c>
      <c r="D231" s="155"/>
      <c r="E231" s="121">
        <v>700</v>
      </c>
      <c r="F231" s="314"/>
      <c r="G231" s="314"/>
      <c r="H231" s="314"/>
      <c r="I231" s="314"/>
      <c r="J231" s="29"/>
      <c r="K231" s="77"/>
    </row>
    <row r="232" spans="1:11" s="8" customFormat="1" ht="15" customHeight="1">
      <c r="A232" s="104" t="s">
        <v>481</v>
      </c>
      <c r="B232" s="10" t="s">
        <v>290</v>
      </c>
      <c r="C232" s="309">
        <f>SUM(D232:J232)</f>
        <v>1396</v>
      </c>
      <c r="D232" s="155"/>
      <c r="E232" s="121">
        <v>1396</v>
      </c>
      <c r="F232" s="314"/>
      <c r="G232" s="314"/>
      <c r="H232" s="314"/>
      <c r="I232" s="314"/>
      <c r="J232" s="29"/>
      <c r="K232" s="77"/>
    </row>
    <row r="233" spans="1:11" s="8" customFormat="1" ht="15" customHeight="1">
      <c r="A233" s="104" t="s">
        <v>482</v>
      </c>
      <c r="B233" s="12" t="s">
        <v>291</v>
      </c>
      <c r="C233" s="309">
        <f>SUM(D233:J233)</f>
        <v>598.4</v>
      </c>
      <c r="D233" s="155"/>
      <c r="E233" s="121">
        <v>598.4</v>
      </c>
      <c r="F233" s="314"/>
      <c r="G233" s="314"/>
      <c r="H233" s="314"/>
      <c r="I233" s="314"/>
      <c r="J233" s="29"/>
      <c r="K233" s="77"/>
    </row>
    <row r="234" spans="1:11" s="13" customFormat="1" ht="15" customHeight="1">
      <c r="A234" s="100"/>
      <c r="B234" s="12" t="s">
        <v>301</v>
      </c>
      <c r="C234" s="335"/>
      <c r="D234" s="154"/>
      <c r="E234" s="153"/>
      <c r="F234" s="320"/>
      <c r="G234" s="320"/>
      <c r="H234" s="320"/>
      <c r="I234" s="320"/>
      <c r="J234" s="30"/>
      <c r="K234" s="78"/>
    </row>
    <row r="235" spans="1:11" s="8" customFormat="1" ht="15" customHeight="1">
      <c r="A235" s="103" t="s">
        <v>483</v>
      </c>
      <c r="B235" s="10" t="s">
        <v>315</v>
      </c>
      <c r="C235" s="309">
        <f>SUM(D235:J235)</f>
        <v>1347.2</v>
      </c>
      <c r="D235" s="155"/>
      <c r="E235" s="121">
        <f>350+997.2</f>
        <v>1347.2</v>
      </c>
      <c r="F235" s="314"/>
      <c r="G235" s="314"/>
      <c r="H235" s="314"/>
      <c r="I235" s="314"/>
      <c r="J235" s="29"/>
      <c r="K235" s="77"/>
    </row>
    <row r="236" spans="1:11" s="8" customFormat="1" ht="15" customHeight="1">
      <c r="A236" s="103" t="s">
        <v>484</v>
      </c>
      <c r="B236" s="10" t="s">
        <v>352</v>
      </c>
      <c r="C236" s="309">
        <f>SUM(D236:J236)</f>
        <v>1347.2</v>
      </c>
      <c r="D236" s="155"/>
      <c r="E236" s="121">
        <f>350+997.2</f>
        <v>1347.2</v>
      </c>
      <c r="F236" s="314"/>
      <c r="G236" s="314"/>
      <c r="H236" s="314"/>
      <c r="I236" s="314"/>
      <c r="J236" s="29"/>
      <c r="K236" s="77"/>
    </row>
    <row r="237" spans="1:11" s="8" customFormat="1" ht="15" customHeight="1">
      <c r="A237" s="103"/>
      <c r="B237" s="10"/>
      <c r="C237" s="309"/>
      <c r="D237" s="155"/>
      <c r="E237" s="121"/>
      <c r="F237" s="314"/>
      <c r="G237" s="314"/>
      <c r="H237" s="314"/>
      <c r="I237" s="314"/>
      <c r="J237" s="29"/>
      <c r="K237" s="77"/>
    </row>
    <row r="238" spans="1:11" s="7" customFormat="1" ht="66" customHeight="1">
      <c r="A238" s="104" t="s">
        <v>485</v>
      </c>
      <c r="B238" s="38" t="s">
        <v>630</v>
      </c>
      <c r="C238" s="308">
        <f>SUM(C239)</f>
        <v>774543.2</v>
      </c>
      <c r="D238" s="115">
        <f>SUM(D239)</f>
        <v>166082</v>
      </c>
      <c r="E238" s="114">
        <f aca="true" t="shared" si="83" ref="E238:J238">SUM(E239)</f>
        <v>175796</v>
      </c>
      <c r="F238" s="204">
        <f t="shared" si="83"/>
        <v>210912.2</v>
      </c>
      <c r="G238" s="204">
        <f t="shared" si="83"/>
        <v>0</v>
      </c>
      <c r="H238" s="204">
        <f t="shared" si="83"/>
        <v>0</v>
      </c>
      <c r="I238" s="204">
        <f t="shared" si="83"/>
        <v>0</v>
      </c>
      <c r="J238" s="35">
        <f t="shared" si="83"/>
        <v>221753</v>
      </c>
      <c r="K238" s="77" t="s">
        <v>15</v>
      </c>
    </row>
    <row r="239" spans="1:11" s="8" customFormat="1" ht="15" customHeight="1">
      <c r="A239" s="103" t="s">
        <v>486</v>
      </c>
      <c r="B239" s="10" t="s">
        <v>291</v>
      </c>
      <c r="C239" s="309">
        <f>SUM(D239:J239)</f>
        <v>774543.2</v>
      </c>
      <c r="D239" s="95">
        <f>176507-9304-1121</f>
        <v>166082</v>
      </c>
      <c r="E239" s="95">
        <f>189957-14161</f>
        <v>175796</v>
      </c>
      <c r="F239" s="315">
        <f>209687+1225.2</f>
        <v>210912.2</v>
      </c>
      <c r="G239" s="315"/>
      <c r="H239" s="315"/>
      <c r="I239" s="315"/>
      <c r="J239" s="34">
        <v>221753</v>
      </c>
      <c r="K239" s="77"/>
    </row>
    <row r="240" spans="1:11" s="8" customFormat="1" ht="15" customHeight="1">
      <c r="A240" s="103"/>
      <c r="B240" s="10"/>
      <c r="C240" s="309"/>
      <c r="D240" s="95"/>
      <c r="E240" s="95"/>
      <c r="F240" s="315"/>
      <c r="G240" s="315"/>
      <c r="H240" s="315"/>
      <c r="I240" s="315"/>
      <c r="J240" s="34"/>
      <c r="K240" s="73"/>
    </row>
    <row r="241" spans="1:11" s="7" customFormat="1" ht="84.75" customHeight="1">
      <c r="A241" s="103" t="s">
        <v>487</v>
      </c>
      <c r="B241" s="37" t="s">
        <v>635</v>
      </c>
      <c r="C241" s="308">
        <f aca="true" t="shared" si="84" ref="C241:J241">SUM(C242)</f>
        <v>539841.3589999999</v>
      </c>
      <c r="D241" s="114">
        <f t="shared" si="84"/>
        <v>94139.759</v>
      </c>
      <c r="E241" s="114">
        <f t="shared" si="84"/>
        <v>92123.91500000001</v>
      </c>
      <c r="F241" s="204">
        <f t="shared" si="84"/>
        <v>57545.385</v>
      </c>
      <c r="G241" s="204">
        <f t="shared" si="84"/>
        <v>58800</v>
      </c>
      <c r="H241" s="204">
        <f t="shared" si="84"/>
        <v>62229.6</v>
      </c>
      <c r="I241" s="204">
        <f t="shared" si="84"/>
        <v>63777.7</v>
      </c>
      <c r="J241" s="35">
        <f t="shared" si="84"/>
        <v>111225</v>
      </c>
      <c r="K241" s="73" t="s">
        <v>15</v>
      </c>
    </row>
    <row r="242" spans="1:11" s="8" customFormat="1" ht="15" customHeight="1">
      <c r="A242" s="103" t="s">
        <v>488</v>
      </c>
      <c r="B242" s="12" t="s">
        <v>289</v>
      </c>
      <c r="C242" s="309">
        <f>SUM(D242:J242)</f>
        <v>539841.3589999999</v>
      </c>
      <c r="D242" s="95">
        <v>94139.759</v>
      </c>
      <c r="E242" s="95">
        <f>94122+200-996.9-482.3-0.1+0.012-718.798+0.001</f>
        <v>92123.91500000001</v>
      </c>
      <c r="F242" s="205">
        <f>48887+4500+5658.385-1600+100</f>
        <v>57545.385</v>
      </c>
      <c r="G242" s="205">
        <f>58800</f>
        <v>58800</v>
      </c>
      <c r="H242" s="315">
        <f>62229.6</f>
        <v>62229.6</v>
      </c>
      <c r="I242" s="315">
        <f>63777.7</f>
        <v>63777.7</v>
      </c>
      <c r="J242" s="34">
        <v>111225</v>
      </c>
      <c r="K242" s="77"/>
    </row>
    <row r="243" spans="1:11" s="8" customFormat="1" ht="15" customHeight="1">
      <c r="A243" s="103"/>
      <c r="B243" s="12"/>
      <c r="C243" s="309"/>
      <c r="D243" s="96"/>
      <c r="E243" s="96"/>
      <c r="F243" s="325"/>
      <c r="G243" s="325"/>
      <c r="H243" s="325"/>
      <c r="I243" s="325"/>
      <c r="J243" s="33"/>
      <c r="K243" s="77"/>
    </row>
    <row r="244" spans="1:11" s="8" customFormat="1" ht="66.75" customHeight="1">
      <c r="A244" s="104" t="s">
        <v>489</v>
      </c>
      <c r="B244" s="43" t="s">
        <v>631</v>
      </c>
      <c r="C244" s="309">
        <f>SUM(C245+C249)</f>
        <v>261147.118</v>
      </c>
      <c r="D244" s="120">
        <f>SUM(D245+D249)</f>
        <v>66531.448</v>
      </c>
      <c r="E244" s="120">
        <f aca="true" t="shared" si="85" ref="E244:J244">SUM(E245+E249)</f>
        <v>30574.17</v>
      </c>
      <c r="F244" s="318">
        <f t="shared" si="85"/>
        <v>31280</v>
      </c>
      <c r="G244" s="318">
        <f t="shared" si="85"/>
        <v>32000</v>
      </c>
      <c r="H244" s="318">
        <f t="shared" si="85"/>
        <v>33079.8</v>
      </c>
      <c r="I244" s="318">
        <f t="shared" si="85"/>
        <v>33161.7</v>
      </c>
      <c r="J244" s="40">
        <f t="shared" si="85"/>
        <v>34520</v>
      </c>
      <c r="K244" s="77" t="s">
        <v>47</v>
      </c>
    </row>
    <row r="245" spans="1:11" s="8" customFormat="1" ht="15" customHeight="1">
      <c r="A245" s="103" t="s">
        <v>490</v>
      </c>
      <c r="B245" s="12" t="s">
        <v>289</v>
      </c>
      <c r="C245" s="309">
        <f>SUM(D245:J245)</f>
        <v>253549.718</v>
      </c>
      <c r="D245" s="95">
        <f>SUM(D247:D248)</f>
        <v>62334.048</v>
      </c>
      <c r="E245" s="95">
        <f aca="true" t="shared" si="86" ref="E245:J245">SUM(E247:E248)</f>
        <v>30574.17</v>
      </c>
      <c r="F245" s="315">
        <f>SUM(F247:F248)</f>
        <v>29580</v>
      </c>
      <c r="G245" s="315">
        <f>SUM(G247:G248)</f>
        <v>32000</v>
      </c>
      <c r="H245" s="315">
        <f t="shared" si="86"/>
        <v>33079.8</v>
      </c>
      <c r="I245" s="315">
        <f t="shared" si="86"/>
        <v>33161.7</v>
      </c>
      <c r="J245" s="34">
        <f t="shared" si="86"/>
        <v>32820</v>
      </c>
      <c r="K245" s="73"/>
    </row>
    <row r="246" spans="1:11" s="13" customFormat="1" ht="15" customHeight="1">
      <c r="A246" s="100"/>
      <c r="B246" s="12" t="s">
        <v>304</v>
      </c>
      <c r="C246" s="335"/>
      <c r="D246" s="153"/>
      <c r="E246" s="153"/>
      <c r="F246" s="320"/>
      <c r="G246" s="320"/>
      <c r="H246" s="320"/>
      <c r="I246" s="320"/>
      <c r="J246" s="30"/>
      <c r="K246" s="75"/>
    </row>
    <row r="247" spans="1:11" s="8" customFormat="1" ht="26.25" customHeight="1">
      <c r="A247" s="103" t="s">
        <v>491</v>
      </c>
      <c r="B247" s="44" t="s">
        <v>303</v>
      </c>
      <c r="C247" s="309">
        <f>SUM(D247:J247)</f>
        <v>220526.07</v>
      </c>
      <c r="D247" s="95">
        <v>29310.4</v>
      </c>
      <c r="E247" s="95">
        <f>29445-213-39.43+300+1081.6</f>
        <v>30574.17</v>
      </c>
      <c r="F247" s="315">
        <f>28404+800+376</f>
        <v>29580</v>
      </c>
      <c r="G247" s="315">
        <f>31200+800</f>
        <v>32000</v>
      </c>
      <c r="H247" s="315">
        <f>32279.8+800</f>
        <v>33079.8</v>
      </c>
      <c r="I247" s="315">
        <f>32361.7+800</f>
        <v>33161.7</v>
      </c>
      <c r="J247" s="34">
        <v>32820</v>
      </c>
      <c r="K247" s="73"/>
    </row>
    <row r="248" spans="1:11" s="8" customFormat="1" ht="48.75" customHeight="1">
      <c r="A248" s="103" t="s">
        <v>492</v>
      </c>
      <c r="B248" s="45" t="s">
        <v>300</v>
      </c>
      <c r="C248" s="309">
        <f>SUM(D248:J248)</f>
        <v>33023.648</v>
      </c>
      <c r="D248" s="117">
        <v>33023.648</v>
      </c>
      <c r="E248" s="95">
        <v>0</v>
      </c>
      <c r="F248" s="315">
        <v>0</v>
      </c>
      <c r="G248" s="316">
        <v>0</v>
      </c>
      <c r="H248" s="316">
        <v>0</v>
      </c>
      <c r="I248" s="316">
        <v>0</v>
      </c>
      <c r="J248" s="22">
        <v>0</v>
      </c>
      <c r="K248" s="73"/>
    </row>
    <row r="249" spans="1:11" s="8" customFormat="1" ht="15" customHeight="1">
      <c r="A249" s="103" t="s">
        <v>493</v>
      </c>
      <c r="B249" s="10" t="s">
        <v>292</v>
      </c>
      <c r="C249" s="309">
        <f>SUM(D249:J249)</f>
        <v>7597.4</v>
      </c>
      <c r="D249" s="117">
        <v>4197.4</v>
      </c>
      <c r="E249" s="95">
        <v>0</v>
      </c>
      <c r="F249" s="315">
        <v>1700</v>
      </c>
      <c r="G249" s="315"/>
      <c r="H249" s="315"/>
      <c r="I249" s="315"/>
      <c r="J249" s="34">
        <v>1700</v>
      </c>
      <c r="K249" s="73"/>
    </row>
    <row r="250" spans="1:11" s="8" customFormat="1" ht="15" customHeight="1">
      <c r="A250" s="103"/>
      <c r="B250" s="10"/>
      <c r="C250" s="309"/>
      <c r="D250" s="118"/>
      <c r="E250" s="96"/>
      <c r="F250" s="325"/>
      <c r="G250" s="317"/>
      <c r="H250" s="317"/>
      <c r="I250" s="317"/>
      <c r="J250" s="21"/>
      <c r="K250" s="73"/>
    </row>
    <row r="251" spans="1:11" s="14" customFormat="1" ht="81.75" customHeight="1">
      <c r="A251" s="102" t="s">
        <v>494</v>
      </c>
      <c r="B251" s="46" t="s">
        <v>632</v>
      </c>
      <c r="C251" s="318">
        <f>SUM(D251:J251)</f>
        <v>3124.8</v>
      </c>
      <c r="D251" s="120">
        <f>SUM(D252)</f>
        <v>3124.8</v>
      </c>
      <c r="E251" s="120">
        <f aca="true" t="shared" si="87" ref="E251:J251">SUM(E252)</f>
        <v>0</v>
      </c>
      <c r="F251" s="318">
        <f t="shared" si="87"/>
        <v>0</v>
      </c>
      <c r="G251" s="318">
        <f t="shared" si="87"/>
        <v>0</v>
      </c>
      <c r="H251" s="318">
        <f t="shared" si="87"/>
        <v>0</v>
      </c>
      <c r="I251" s="318">
        <f t="shared" si="87"/>
        <v>0</v>
      </c>
      <c r="J251" s="40">
        <f t="shared" si="87"/>
        <v>0</v>
      </c>
      <c r="K251" s="77" t="s">
        <v>14</v>
      </c>
    </row>
    <row r="252" spans="1:11" s="14" customFormat="1" ht="15" customHeight="1">
      <c r="A252" s="99" t="s">
        <v>495</v>
      </c>
      <c r="B252" s="28" t="s">
        <v>291</v>
      </c>
      <c r="C252" s="318">
        <f>SUM(D252:J252)</f>
        <v>3124.8</v>
      </c>
      <c r="D252" s="95">
        <f>SUM(D254)</f>
        <v>3124.8</v>
      </c>
      <c r="E252" s="95">
        <f aca="true" t="shared" si="88" ref="E252:J252">SUM(E254)</f>
        <v>0</v>
      </c>
      <c r="F252" s="315">
        <f t="shared" si="88"/>
        <v>0</v>
      </c>
      <c r="G252" s="315">
        <f t="shared" si="88"/>
        <v>0</v>
      </c>
      <c r="H252" s="315">
        <f t="shared" si="88"/>
        <v>0</v>
      </c>
      <c r="I252" s="315">
        <f t="shared" si="88"/>
        <v>0</v>
      </c>
      <c r="J252" s="34">
        <f t="shared" si="88"/>
        <v>0</v>
      </c>
      <c r="K252" s="77"/>
    </row>
    <row r="253" spans="1:11" s="31" customFormat="1" ht="15" customHeight="1">
      <c r="A253" s="101"/>
      <c r="B253" s="28" t="s">
        <v>304</v>
      </c>
      <c r="C253" s="334"/>
      <c r="D253" s="153"/>
      <c r="E253" s="153"/>
      <c r="F253" s="320"/>
      <c r="G253" s="320"/>
      <c r="H253" s="320"/>
      <c r="I253" s="320"/>
      <c r="J253" s="30"/>
      <c r="K253" s="78"/>
    </row>
    <row r="254" spans="1:11" s="14" customFormat="1" ht="48" customHeight="1">
      <c r="A254" s="99" t="s">
        <v>496</v>
      </c>
      <c r="B254" s="67" t="s">
        <v>300</v>
      </c>
      <c r="C254" s="318">
        <f>SUM(D254:J254)</f>
        <v>3124.8</v>
      </c>
      <c r="D254" s="95">
        <v>3124.8</v>
      </c>
      <c r="E254" s="95"/>
      <c r="F254" s="315"/>
      <c r="G254" s="315"/>
      <c r="H254" s="315"/>
      <c r="I254" s="315"/>
      <c r="J254" s="34"/>
      <c r="K254" s="77"/>
    </row>
    <row r="255" spans="1:11" s="14" customFormat="1" ht="15.75">
      <c r="A255" s="99"/>
      <c r="B255" s="67"/>
      <c r="C255" s="318"/>
      <c r="D255" s="95"/>
      <c r="E255" s="95"/>
      <c r="F255" s="315"/>
      <c r="G255" s="315"/>
      <c r="H255" s="315"/>
      <c r="I255" s="315"/>
      <c r="J255" s="34"/>
      <c r="K255" s="77"/>
    </row>
    <row r="256" spans="1:11" s="14" customFormat="1" ht="63.75" customHeight="1">
      <c r="A256" s="103" t="s">
        <v>497</v>
      </c>
      <c r="B256" s="43" t="s">
        <v>633</v>
      </c>
      <c r="C256" s="308">
        <f aca="true" t="shared" si="89" ref="C256:J256">SUM(C257)</f>
        <v>25528</v>
      </c>
      <c r="D256" s="114">
        <f t="shared" si="89"/>
        <v>25528</v>
      </c>
      <c r="E256" s="114">
        <f t="shared" si="89"/>
        <v>0</v>
      </c>
      <c r="F256" s="204">
        <f t="shared" si="89"/>
        <v>0</v>
      </c>
      <c r="G256" s="204">
        <f t="shared" si="89"/>
        <v>0</v>
      </c>
      <c r="H256" s="204">
        <f t="shared" si="89"/>
        <v>0</v>
      </c>
      <c r="I256" s="204">
        <f t="shared" si="89"/>
        <v>0</v>
      </c>
      <c r="J256" s="35">
        <f t="shared" si="89"/>
        <v>0</v>
      </c>
      <c r="K256" s="77" t="s">
        <v>46</v>
      </c>
    </row>
    <row r="257" spans="1:11" s="14" customFormat="1" ht="16.5" customHeight="1">
      <c r="A257" s="103" t="s">
        <v>498</v>
      </c>
      <c r="B257" s="10" t="s">
        <v>291</v>
      </c>
      <c r="C257" s="309">
        <f>SUM(D257:J257)</f>
        <v>25528</v>
      </c>
      <c r="D257" s="95">
        <f>27460-1932</f>
        <v>25528</v>
      </c>
      <c r="E257" s="95">
        <v>0</v>
      </c>
      <c r="F257" s="315">
        <v>0</v>
      </c>
      <c r="G257" s="315">
        <v>0</v>
      </c>
      <c r="H257" s="315">
        <v>0</v>
      </c>
      <c r="I257" s="315">
        <v>0</v>
      </c>
      <c r="J257" s="34">
        <v>0</v>
      </c>
      <c r="K257" s="73"/>
    </row>
    <row r="258" spans="1:11" s="14" customFormat="1" ht="16.5" customHeight="1">
      <c r="A258" s="103"/>
      <c r="B258" s="10"/>
      <c r="C258" s="309"/>
      <c r="D258" s="95"/>
      <c r="E258" s="95"/>
      <c r="F258" s="315"/>
      <c r="G258" s="315"/>
      <c r="H258" s="315"/>
      <c r="I258" s="315"/>
      <c r="J258" s="34"/>
      <c r="K258" s="73"/>
    </row>
    <row r="259" spans="1:11" s="8" customFormat="1" ht="66.75" customHeight="1">
      <c r="A259" s="103" t="s">
        <v>499</v>
      </c>
      <c r="B259" s="46" t="s">
        <v>634</v>
      </c>
      <c r="C259" s="204">
        <f>SUM(D259:J259)</f>
        <v>2863.9260000000004</v>
      </c>
      <c r="D259" s="114">
        <f>SUM(D260:D262)</f>
        <v>1155.675</v>
      </c>
      <c r="E259" s="114">
        <f aca="true" t="shared" si="90" ref="E259:J259">SUM(E260:E262)</f>
        <v>1708.2510000000002</v>
      </c>
      <c r="F259" s="204">
        <f t="shared" si="90"/>
        <v>0</v>
      </c>
      <c r="G259" s="204">
        <f t="shared" si="90"/>
        <v>0</v>
      </c>
      <c r="H259" s="204">
        <f t="shared" si="90"/>
        <v>0</v>
      </c>
      <c r="I259" s="204">
        <f t="shared" si="90"/>
        <v>0</v>
      </c>
      <c r="J259" s="35">
        <f t="shared" si="90"/>
        <v>0</v>
      </c>
      <c r="K259" s="77" t="s">
        <v>16</v>
      </c>
    </row>
    <row r="260" spans="1:11" s="8" customFormat="1" ht="15" customHeight="1">
      <c r="A260" s="103" t="s">
        <v>500</v>
      </c>
      <c r="B260" s="32" t="s">
        <v>289</v>
      </c>
      <c r="C260" s="318">
        <f>SUM(D260:J260)</f>
        <v>150</v>
      </c>
      <c r="D260" s="114">
        <f>SUM(D264)</f>
        <v>0</v>
      </c>
      <c r="E260" s="114">
        <f aca="true" t="shared" si="91" ref="E260:J260">SUM(E264)</f>
        <v>150</v>
      </c>
      <c r="F260" s="204">
        <f t="shared" si="91"/>
        <v>0</v>
      </c>
      <c r="G260" s="204">
        <f t="shared" si="91"/>
        <v>0</v>
      </c>
      <c r="H260" s="204">
        <f t="shared" si="91"/>
        <v>0</v>
      </c>
      <c r="I260" s="204">
        <f t="shared" si="91"/>
        <v>0</v>
      </c>
      <c r="J260" s="35">
        <f t="shared" si="91"/>
        <v>0</v>
      </c>
      <c r="K260" s="77"/>
    </row>
    <row r="261" spans="1:11" s="8" customFormat="1" ht="15" customHeight="1">
      <c r="A261" s="103" t="s">
        <v>501</v>
      </c>
      <c r="B261" s="32" t="s">
        <v>291</v>
      </c>
      <c r="C261" s="318">
        <f aca="true" t="shared" si="92" ref="C261:C268">SUM(D261:J261)</f>
        <v>512.82</v>
      </c>
      <c r="D261" s="114">
        <f>SUM(D265)</f>
        <v>0</v>
      </c>
      <c r="E261" s="114">
        <f aca="true" t="shared" si="93" ref="E261:J261">SUM(E265)</f>
        <v>512.82</v>
      </c>
      <c r="F261" s="204">
        <f t="shared" si="93"/>
        <v>0</v>
      </c>
      <c r="G261" s="204">
        <f t="shared" si="93"/>
        <v>0</v>
      </c>
      <c r="H261" s="204">
        <f t="shared" si="93"/>
        <v>0</v>
      </c>
      <c r="I261" s="204">
        <f t="shared" si="93"/>
        <v>0</v>
      </c>
      <c r="J261" s="35">
        <f t="shared" si="93"/>
        <v>0</v>
      </c>
      <c r="K261" s="77"/>
    </row>
    <row r="262" spans="1:11" s="8" customFormat="1" ht="15" customHeight="1">
      <c r="A262" s="103" t="s">
        <v>502</v>
      </c>
      <c r="B262" s="32" t="s">
        <v>290</v>
      </c>
      <c r="C262" s="318">
        <f t="shared" si="92"/>
        <v>2201.1059999999998</v>
      </c>
      <c r="D262" s="114">
        <f aca="true" t="shared" si="94" ref="D262:J262">SUM(D266+D268)</f>
        <v>1155.675</v>
      </c>
      <c r="E262" s="114">
        <f t="shared" si="94"/>
        <v>1045.431</v>
      </c>
      <c r="F262" s="204">
        <f t="shared" si="94"/>
        <v>0</v>
      </c>
      <c r="G262" s="204">
        <f t="shared" si="94"/>
        <v>0</v>
      </c>
      <c r="H262" s="204">
        <f t="shared" si="94"/>
        <v>0</v>
      </c>
      <c r="I262" s="204">
        <f t="shared" si="94"/>
        <v>0</v>
      </c>
      <c r="J262" s="35">
        <f t="shared" si="94"/>
        <v>0</v>
      </c>
      <c r="K262" s="77"/>
    </row>
    <row r="263" spans="1:11" s="8" customFormat="1" ht="15" customHeight="1">
      <c r="A263" s="104"/>
      <c r="B263" s="93" t="s">
        <v>389</v>
      </c>
      <c r="C263" s="204"/>
      <c r="D263" s="95"/>
      <c r="E263" s="95"/>
      <c r="F263" s="315"/>
      <c r="G263" s="315"/>
      <c r="H263" s="315"/>
      <c r="I263" s="315"/>
      <c r="J263" s="34"/>
      <c r="K263" s="77"/>
    </row>
    <row r="264" spans="1:11" s="8" customFormat="1" ht="15" customHeight="1">
      <c r="A264" s="104" t="s">
        <v>503</v>
      </c>
      <c r="B264" s="32" t="s">
        <v>289</v>
      </c>
      <c r="C264" s="318">
        <f t="shared" si="92"/>
        <v>150</v>
      </c>
      <c r="D264" s="95"/>
      <c r="E264" s="95">
        <v>150</v>
      </c>
      <c r="F264" s="315"/>
      <c r="G264" s="315"/>
      <c r="H264" s="315"/>
      <c r="I264" s="315"/>
      <c r="J264" s="34"/>
      <c r="K264" s="77"/>
    </row>
    <row r="265" spans="1:12" s="8" customFormat="1" ht="15" customHeight="1">
      <c r="A265" s="104" t="s">
        <v>504</v>
      </c>
      <c r="B265" s="32" t="s">
        <v>291</v>
      </c>
      <c r="C265" s="318">
        <f t="shared" si="92"/>
        <v>512.82</v>
      </c>
      <c r="D265" s="95"/>
      <c r="E265" s="95">
        <v>512.82</v>
      </c>
      <c r="F265" s="315"/>
      <c r="G265" s="315"/>
      <c r="H265" s="315"/>
      <c r="I265" s="315"/>
      <c r="J265" s="34"/>
      <c r="K265" s="77"/>
      <c r="L265" s="110"/>
    </row>
    <row r="266" spans="1:12" s="8" customFormat="1" ht="15" customHeight="1">
      <c r="A266" s="104" t="s">
        <v>505</v>
      </c>
      <c r="B266" s="32" t="s">
        <v>290</v>
      </c>
      <c r="C266" s="318">
        <f t="shared" si="92"/>
        <v>1701.106</v>
      </c>
      <c r="D266" s="95">
        <v>1155.675</v>
      </c>
      <c r="E266" s="95">
        <v>545.431</v>
      </c>
      <c r="F266" s="315"/>
      <c r="G266" s="315"/>
      <c r="H266" s="315"/>
      <c r="I266" s="315"/>
      <c r="J266" s="34"/>
      <c r="K266" s="77"/>
      <c r="L266" s="110"/>
    </row>
    <row r="267" spans="1:11" s="8" customFormat="1" ht="15" customHeight="1">
      <c r="A267" s="104"/>
      <c r="B267" s="93" t="s">
        <v>390</v>
      </c>
      <c r="C267" s="204"/>
      <c r="D267" s="95"/>
      <c r="E267" s="95"/>
      <c r="F267" s="315"/>
      <c r="G267" s="315"/>
      <c r="H267" s="315"/>
      <c r="I267" s="315"/>
      <c r="J267" s="34"/>
      <c r="K267" s="77"/>
    </row>
    <row r="268" spans="1:11" s="8" customFormat="1" ht="15" customHeight="1">
      <c r="A268" s="104" t="s">
        <v>506</v>
      </c>
      <c r="B268" s="32" t="s">
        <v>290</v>
      </c>
      <c r="C268" s="318">
        <f t="shared" si="92"/>
        <v>500</v>
      </c>
      <c r="D268" s="95"/>
      <c r="E268" s="95">
        <v>500</v>
      </c>
      <c r="F268" s="315"/>
      <c r="G268" s="315"/>
      <c r="H268" s="315"/>
      <c r="I268" s="315"/>
      <c r="J268" s="34"/>
      <c r="K268" s="77"/>
    </row>
    <row r="269" spans="1:11" s="8" customFormat="1" ht="15" customHeight="1">
      <c r="A269" s="104"/>
      <c r="B269" s="32"/>
      <c r="C269" s="318"/>
      <c r="D269" s="95"/>
      <c r="E269" s="95"/>
      <c r="F269" s="315"/>
      <c r="G269" s="315"/>
      <c r="H269" s="315"/>
      <c r="I269" s="315"/>
      <c r="J269" s="34"/>
      <c r="K269" s="77"/>
    </row>
    <row r="270" spans="1:11" s="8" customFormat="1" ht="82.5" customHeight="1">
      <c r="A270" s="103" t="s">
        <v>507</v>
      </c>
      <c r="B270" s="46" t="s">
        <v>680</v>
      </c>
      <c r="C270" s="204">
        <f>SUM(D270:J270)</f>
        <v>686.98966</v>
      </c>
      <c r="D270" s="114">
        <f>SUM(D271:D272)</f>
        <v>0</v>
      </c>
      <c r="E270" s="114">
        <f aca="true" t="shared" si="95" ref="E270:J270">SUM(E271:E272)</f>
        <v>0</v>
      </c>
      <c r="F270" s="204">
        <f t="shared" si="95"/>
        <v>686.98966</v>
      </c>
      <c r="G270" s="204">
        <f t="shared" si="95"/>
        <v>0</v>
      </c>
      <c r="H270" s="204">
        <f t="shared" si="95"/>
        <v>0</v>
      </c>
      <c r="I270" s="204">
        <f t="shared" si="95"/>
        <v>0</v>
      </c>
      <c r="J270" s="35">
        <f t="shared" si="95"/>
        <v>0</v>
      </c>
      <c r="K270" s="77" t="s">
        <v>16</v>
      </c>
    </row>
    <row r="271" spans="1:11" s="8" customFormat="1" ht="15" customHeight="1">
      <c r="A271" s="103" t="s">
        <v>508</v>
      </c>
      <c r="B271" s="32" t="s">
        <v>289</v>
      </c>
      <c r="C271" s="318">
        <f>SUM(D271:J271)</f>
        <v>686.98966</v>
      </c>
      <c r="D271" s="124"/>
      <c r="E271" s="124"/>
      <c r="F271" s="205">
        <f>186.98966+500</f>
        <v>686.98966</v>
      </c>
      <c r="G271" s="205"/>
      <c r="H271" s="205"/>
      <c r="I271" s="205"/>
      <c r="J271" s="91"/>
      <c r="K271" s="77"/>
    </row>
    <row r="272" spans="1:11" s="8" customFormat="1" ht="15" customHeight="1">
      <c r="A272" s="103" t="s">
        <v>509</v>
      </c>
      <c r="B272" s="32" t="s">
        <v>291</v>
      </c>
      <c r="C272" s="318">
        <f>SUM(D272:J272)</f>
        <v>0</v>
      </c>
      <c r="D272" s="124"/>
      <c r="E272" s="124"/>
      <c r="F272" s="205"/>
      <c r="G272" s="205"/>
      <c r="H272" s="205"/>
      <c r="I272" s="205"/>
      <c r="J272" s="91"/>
      <c r="K272" s="77"/>
    </row>
    <row r="273" spans="1:11" s="8" customFormat="1" ht="15" customHeight="1">
      <c r="A273" s="103"/>
      <c r="B273" s="32"/>
      <c r="C273" s="318"/>
      <c r="D273" s="124"/>
      <c r="E273" s="124"/>
      <c r="F273" s="205"/>
      <c r="G273" s="205"/>
      <c r="H273" s="205"/>
      <c r="I273" s="205"/>
      <c r="J273" s="91"/>
      <c r="K273" s="77"/>
    </row>
    <row r="274" spans="1:11" s="8" customFormat="1" ht="53.25" customHeight="1">
      <c r="A274" s="103" t="s">
        <v>510</v>
      </c>
      <c r="B274" s="46" t="s">
        <v>0</v>
      </c>
      <c r="C274" s="204">
        <f>SUM(D274:J274)</f>
        <v>21791.553</v>
      </c>
      <c r="D274" s="114">
        <f>SUM(D275:D277)</f>
        <v>0</v>
      </c>
      <c r="E274" s="114">
        <f aca="true" t="shared" si="96" ref="E274:J274">SUM(E275:E277)</f>
        <v>0</v>
      </c>
      <c r="F274" s="204">
        <f>SUM(F275:F277)</f>
        <v>21791.553</v>
      </c>
      <c r="G274" s="204">
        <f t="shared" si="96"/>
        <v>0</v>
      </c>
      <c r="H274" s="204">
        <f t="shared" si="96"/>
        <v>0</v>
      </c>
      <c r="I274" s="204">
        <f t="shared" si="96"/>
        <v>0</v>
      </c>
      <c r="J274" s="114">
        <f t="shared" si="96"/>
        <v>0</v>
      </c>
      <c r="K274" s="77" t="s">
        <v>16</v>
      </c>
    </row>
    <row r="275" spans="1:11" s="8" customFormat="1" ht="31.5" customHeight="1">
      <c r="A275" s="103" t="s">
        <v>511</v>
      </c>
      <c r="B275" s="32" t="s">
        <v>150</v>
      </c>
      <c r="C275" s="318">
        <f>SUM(D275:J275)</f>
        <v>400</v>
      </c>
      <c r="D275" s="124"/>
      <c r="E275" s="124"/>
      <c r="F275" s="205">
        <f>400</f>
        <v>400</v>
      </c>
      <c r="G275" s="205"/>
      <c r="H275" s="205"/>
      <c r="I275" s="205"/>
      <c r="J275" s="91"/>
      <c r="K275" s="77"/>
    </row>
    <row r="276" spans="1:11" s="8" customFormat="1" ht="15" customHeight="1">
      <c r="A276" s="103" t="s">
        <v>512</v>
      </c>
      <c r="B276" s="32" t="s">
        <v>289</v>
      </c>
      <c r="C276" s="318">
        <f>SUM(D276:J276)</f>
        <v>7572.653</v>
      </c>
      <c r="D276" s="124"/>
      <c r="E276" s="124"/>
      <c r="F276" s="205">
        <f>7572.653</f>
        <v>7572.653</v>
      </c>
      <c r="G276" s="205"/>
      <c r="H276" s="205"/>
      <c r="I276" s="205"/>
      <c r="J276" s="91"/>
      <c r="K276" s="77"/>
    </row>
    <row r="277" spans="1:11" s="8" customFormat="1" ht="15" customHeight="1">
      <c r="A277" s="103" t="s">
        <v>513</v>
      </c>
      <c r="B277" s="32" t="s">
        <v>291</v>
      </c>
      <c r="C277" s="318">
        <f>SUM(D277:J277)</f>
        <v>13818.9</v>
      </c>
      <c r="D277" s="124"/>
      <c r="E277" s="124"/>
      <c r="F277" s="205">
        <f>13818.9</f>
        <v>13818.9</v>
      </c>
      <c r="G277" s="205"/>
      <c r="H277" s="205"/>
      <c r="I277" s="205"/>
      <c r="J277" s="91"/>
      <c r="K277" s="77"/>
    </row>
    <row r="278" spans="1:11" s="8" customFormat="1" ht="15" customHeight="1">
      <c r="A278" s="103"/>
      <c r="B278" s="32" t="s">
        <v>301</v>
      </c>
      <c r="C278" s="318"/>
      <c r="D278" s="124"/>
      <c r="E278" s="124"/>
      <c r="F278" s="205"/>
      <c r="G278" s="205"/>
      <c r="H278" s="205"/>
      <c r="I278" s="205"/>
      <c r="J278" s="91"/>
      <c r="K278" s="77"/>
    </row>
    <row r="279" spans="1:11" s="8" customFormat="1" ht="15" customHeight="1">
      <c r="A279" s="103" t="s">
        <v>514</v>
      </c>
      <c r="B279" s="32" t="s">
        <v>310</v>
      </c>
      <c r="C279" s="318">
        <f>SUM(D279:J279)</f>
        <v>21791.553</v>
      </c>
      <c r="D279" s="124"/>
      <c r="E279" s="124"/>
      <c r="F279" s="205">
        <f>SUM(F275:F277)</f>
        <v>21791.553</v>
      </c>
      <c r="G279" s="205"/>
      <c r="H279" s="205"/>
      <c r="I279" s="205"/>
      <c r="J279" s="91"/>
      <c r="K279" s="77"/>
    </row>
    <row r="280" spans="1:11" s="8" customFormat="1" ht="15" customHeight="1">
      <c r="A280" s="103"/>
      <c r="B280" s="32"/>
      <c r="C280" s="318"/>
      <c r="D280" s="124"/>
      <c r="E280" s="124"/>
      <c r="F280" s="205"/>
      <c r="G280" s="205"/>
      <c r="H280" s="205"/>
      <c r="I280" s="205"/>
      <c r="J280" s="91"/>
      <c r="K280" s="77"/>
    </row>
    <row r="281" spans="1:11" s="8" customFormat="1" ht="83.25" customHeight="1">
      <c r="A281" s="103" t="s">
        <v>515</v>
      </c>
      <c r="B281" s="46" t="s">
        <v>9</v>
      </c>
      <c r="C281" s="204">
        <f>SUM(D281:J281)</f>
        <v>4675</v>
      </c>
      <c r="D281" s="114">
        <f>SUM(D282:D283)</f>
        <v>0</v>
      </c>
      <c r="E281" s="114">
        <f aca="true" t="shared" si="97" ref="E281:J281">SUM(E282:E283)</f>
        <v>0</v>
      </c>
      <c r="F281" s="204">
        <f t="shared" si="97"/>
        <v>3300</v>
      </c>
      <c r="G281" s="204">
        <f t="shared" si="97"/>
        <v>1375</v>
      </c>
      <c r="H281" s="204">
        <f t="shared" si="97"/>
        <v>0</v>
      </c>
      <c r="I281" s="204">
        <f t="shared" si="97"/>
        <v>0</v>
      </c>
      <c r="J281" s="35">
        <f t="shared" si="97"/>
        <v>0</v>
      </c>
      <c r="K281" s="77" t="s">
        <v>17</v>
      </c>
    </row>
    <row r="282" spans="1:11" s="8" customFormat="1" ht="15" customHeight="1">
      <c r="A282" s="103" t="s">
        <v>516</v>
      </c>
      <c r="B282" s="32" t="s">
        <v>289</v>
      </c>
      <c r="C282" s="318">
        <f>SUM(D282:J282)</f>
        <v>3175</v>
      </c>
      <c r="D282" s="124"/>
      <c r="E282" s="124"/>
      <c r="F282" s="205">
        <f>1800</f>
        <v>1800</v>
      </c>
      <c r="G282" s="205">
        <f>1375</f>
        <v>1375</v>
      </c>
      <c r="H282" s="205"/>
      <c r="I282" s="205"/>
      <c r="J282" s="91"/>
      <c r="K282" s="77"/>
    </row>
    <row r="283" spans="1:11" s="8" customFormat="1" ht="15" customHeight="1">
      <c r="A283" s="103" t="s">
        <v>517</v>
      </c>
      <c r="B283" s="32" t="s">
        <v>291</v>
      </c>
      <c r="C283" s="318">
        <f>SUM(D283:J283)</f>
        <v>1500</v>
      </c>
      <c r="D283" s="124"/>
      <c r="E283" s="124"/>
      <c r="F283" s="205">
        <f>1500</f>
        <v>1500</v>
      </c>
      <c r="G283" s="205"/>
      <c r="H283" s="205"/>
      <c r="I283" s="205"/>
      <c r="J283" s="91"/>
      <c r="K283" s="77"/>
    </row>
    <row r="284" spans="1:11" s="8" customFormat="1" ht="15" customHeight="1">
      <c r="A284" s="103"/>
      <c r="B284" s="32" t="s">
        <v>301</v>
      </c>
      <c r="C284" s="318"/>
      <c r="D284" s="124"/>
      <c r="E284" s="124"/>
      <c r="F284" s="205"/>
      <c r="G284" s="205"/>
      <c r="H284" s="205"/>
      <c r="I284" s="205"/>
      <c r="J284" s="91"/>
      <c r="K284" s="77"/>
    </row>
    <row r="285" spans="1:11" s="8" customFormat="1" ht="15" customHeight="1">
      <c r="A285" s="103" t="s">
        <v>518</v>
      </c>
      <c r="B285" s="32" t="s">
        <v>352</v>
      </c>
      <c r="C285" s="318">
        <f>SUM(D285:J285)</f>
        <v>3300</v>
      </c>
      <c r="D285" s="124"/>
      <c r="E285" s="124"/>
      <c r="F285" s="205">
        <f>SUM(F282:F283)</f>
        <v>3300</v>
      </c>
      <c r="G285" s="205"/>
      <c r="H285" s="205"/>
      <c r="I285" s="205"/>
      <c r="J285" s="91"/>
      <c r="K285" s="77"/>
    </row>
    <row r="286" spans="1:11" s="8" customFormat="1" ht="15" customHeight="1">
      <c r="A286" s="103" t="s">
        <v>519</v>
      </c>
      <c r="B286" s="32" t="s">
        <v>351</v>
      </c>
      <c r="C286" s="318">
        <f>SUM(D286:J286)</f>
        <v>1375</v>
      </c>
      <c r="D286" s="124"/>
      <c r="E286" s="124"/>
      <c r="F286" s="205"/>
      <c r="G286" s="205">
        <f>SUM(G282:G283)</f>
        <v>1375</v>
      </c>
      <c r="H286" s="205"/>
      <c r="I286" s="205"/>
      <c r="J286" s="91"/>
      <c r="K286" s="77"/>
    </row>
    <row r="287" spans="1:11" s="8" customFormat="1" ht="15" customHeight="1">
      <c r="A287" s="103"/>
      <c r="B287" s="32"/>
      <c r="C287" s="318"/>
      <c r="D287" s="124"/>
      <c r="E287" s="124"/>
      <c r="F287" s="205"/>
      <c r="G287" s="205"/>
      <c r="H287" s="205"/>
      <c r="I287" s="205"/>
      <c r="J287" s="91"/>
      <c r="K287" s="77"/>
    </row>
    <row r="288" spans="1:11" s="8" customFormat="1" ht="115.5" customHeight="1">
      <c r="A288" s="103" t="s">
        <v>520</v>
      </c>
      <c r="B288" s="46" t="s">
        <v>42</v>
      </c>
      <c r="C288" s="204">
        <f>SUM(D288:J288)</f>
        <v>3996.2999999999997</v>
      </c>
      <c r="D288" s="114">
        <f>SUM(D289:D291)</f>
        <v>0</v>
      </c>
      <c r="E288" s="114">
        <f aca="true" t="shared" si="98" ref="E288:J288">SUM(E289:E291)</f>
        <v>0</v>
      </c>
      <c r="F288" s="204">
        <f>SUM(F289:F291)</f>
        <v>3996.2999999999997</v>
      </c>
      <c r="G288" s="204">
        <f t="shared" si="98"/>
        <v>0</v>
      </c>
      <c r="H288" s="204">
        <f t="shared" si="98"/>
        <v>0</v>
      </c>
      <c r="I288" s="204">
        <f t="shared" si="98"/>
        <v>0</v>
      </c>
      <c r="J288" s="35">
        <f t="shared" si="98"/>
        <v>0</v>
      </c>
      <c r="K288" s="77" t="s">
        <v>45</v>
      </c>
    </row>
    <row r="289" spans="1:11" s="8" customFormat="1" ht="15" customHeight="1">
      <c r="A289" s="103" t="s">
        <v>521</v>
      </c>
      <c r="B289" s="32" t="s">
        <v>289</v>
      </c>
      <c r="C289" s="318">
        <f>SUM(D289:J289)</f>
        <v>84.6</v>
      </c>
      <c r="D289" s="124"/>
      <c r="E289" s="124"/>
      <c r="F289" s="205">
        <f>84.6</f>
        <v>84.6</v>
      </c>
      <c r="G289" s="205"/>
      <c r="H289" s="205"/>
      <c r="I289" s="205"/>
      <c r="J289" s="91"/>
      <c r="K289" s="77"/>
    </row>
    <row r="290" spans="1:11" s="8" customFormat="1" ht="15" customHeight="1">
      <c r="A290" s="103" t="s">
        <v>522</v>
      </c>
      <c r="B290" s="32" t="s">
        <v>291</v>
      </c>
      <c r="C290" s="318">
        <f>SUM(D290:J290)</f>
        <v>0</v>
      </c>
      <c r="D290" s="124"/>
      <c r="E290" s="124"/>
      <c r="F290" s="205"/>
      <c r="G290" s="205"/>
      <c r="H290" s="205"/>
      <c r="I290" s="205"/>
      <c r="J290" s="91"/>
      <c r="K290" s="77"/>
    </row>
    <row r="291" spans="1:11" s="8" customFormat="1" ht="15" customHeight="1">
      <c r="A291" s="103" t="s">
        <v>523</v>
      </c>
      <c r="B291" s="32" t="s">
        <v>290</v>
      </c>
      <c r="C291" s="318">
        <f>SUM(D291:J291)</f>
        <v>3911.7</v>
      </c>
      <c r="D291" s="124"/>
      <c r="E291" s="124"/>
      <c r="F291" s="205">
        <v>3911.7</v>
      </c>
      <c r="G291" s="205"/>
      <c r="H291" s="205"/>
      <c r="I291" s="205"/>
      <c r="J291" s="91"/>
      <c r="K291" s="77"/>
    </row>
    <row r="292" spans="1:11" s="8" customFormat="1" ht="15" customHeight="1">
      <c r="A292" s="103"/>
      <c r="B292" s="32" t="s">
        <v>301</v>
      </c>
      <c r="C292" s="318"/>
      <c r="D292" s="124"/>
      <c r="E292" s="124"/>
      <c r="F292" s="205"/>
      <c r="G292" s="205"/>
      <c r="H292" s="205"/>
      <c r="I292" s="205"/>
      <c r="J292" s="91"/>
      <c r="K292" s="77"/>
    </row>
    <row r="293" spans="1:11" s="8" customFormat="1" ht="15" customHeight="1">
      <c r="A293" s="103" t="s">
        <v>524</v>
      </c>
      <c r="B293" s="32" t="s">
        <v>351</v>
      </c>
      <c r="C293" s="318">
        <f>SUM(D293:J293)</f>
        <v>3996.2999999999997</v>
      </c>
      <c r="D293" s="124"/>
      <c r="E293" s="124"/>
      <c r="F293" s="205">
        <f>SUM(F289:F291)</f>
        <v>3996.2999999999997</v>
      </c>
      <c r="G293" s="205"/>
      <c r="H293" s="205"/>
      <c r="I293" s="205"/>
      <c r="J293" s="91"/>
      <c r="K293" s="77"/>
    </row>
    <row r="294" spans="1:11" s="8" customFormat="1" ht="15" customHeight="1">
      <c r="A294" s="103"/>
      <c r="B294" s="196"/>
      <c r="C294" s="336"/>
      <c r="D294" s="197"/>
      <c r="E294" s="197"/>
      <c r="F294" s="337"/>
      <c r="G294" s="337"/>
      <c r="H294" s="337"/>
      <c r="I294" s="337"/>
      <c r="J294" s="198"/>
      <c r="K294" s="199"/>
    </row>
    <row r="295" spans="1:11" s="7" customFormat="1" ht="15" customHeight="1">
      <c r="A295" s="165"/>
      <c r="B295" s="429" t="s">
        <v>283</v>
      </c>
      <c r="C295" s="430"/>
      <c r="D295" s="430"/>
      <c r="E295" s="430"/>
      <c r="F295" s="430"/>
      <c r="G295" s="430"/>
      <c r="H295" s="430"/>
      <c r="I295" s="430"/>
      <c r="J295" s="430"/>
      <c r="K295" s="431"/>
    </row>
    <row r="296" spans="1:11" s="8" customFormat="1" ht="15.75">
      <c r="A296" s="103" t="s">
        <v>525</v>
      </c>
      <c r="B296" s="43" t="s">
        <v>320</v>
      </c>
      <c r="C296" s="309">
        <f>SUM(C297:C298)</f>
        <v>94369.284</v>
      </c>
      <c r="D296" s="115">
        <f>SUM(D297:D298)</f>
        <v>3619.284</v>
      </c>
      <c r="E296" s="114">
        <f aca="true" t="shared" si="99" ref="E296:J296">SUM(E297:E298)</f>
        <v>7500</v>
      </c>
      <c r="F296" s="204">
        <f t="shared" si="99"/>
        <v>10000</v>
      </c>
      <c r="G296" s="308">
        <f t="shared" si="99"/>
        <v>10050</v>
      </c>
      <c r="H296" s="204">
        <f t="shared" si="99"/>
        <v>15300</v>
      </c>
      <c r="I296" s="308">
        <f t="shared" si="99"/>
        <v>15200</v>
      </c>
      <c r="J296" s="16">
        <f t="shared" si="99"/>
        <v>32700</v>
      </c>
      <c r="K296" s="79"/>
    </row>
    <row r="297" spans="1:11" s="8" customFormat="1" ht="15" customHeight="1">
      <c r="A297" s="103" t="s">
        <v>526</v>
      </c>
      <c r="B297" s="10" t="s">
        <v>289</v>
      </c>
      <c r="C297" s="309">
        <f>SUM(D297:J297)</f>
        <v>94369.284</v>
      </c>
      <c r="D297" s="116">
        <f aca="true" t="shared" si="100" ref="D297:J297">SUM(D302+D316)</f>
        <v>3619.284</v>
      </c>
      <c r="E297" s="111">
        <f t="shared" si="100"/>
        <v>7500</v>
      </c>
      <c r="F297" s="299">
        <f t="shared" si="100"/>
        <v>10000</v>
      </c>
      <c r="G297" s="304">
        <f t="shared" si="100"/>
        <v>10050</v>
      </c>
      <c r="H297" s="304">
        <f t="shared" si="100"/>
        <v>15300</v>
      </c>
      <c r="I297" s="304">
        <f t="shared" si="100"/>
        <v>15200</v>
      </c>
      <c r="J297" s="15">
        <f t="shared" si="100"/>
        <v>32700</v>
      </c>
      <c r="K297" s="73"/>
    </row>
    <row r="298" spans="1:11" s="8" customFormat="1" ht="15" customHeight="1">
      <c r="A298" s="103" t="s">
        <v>527</v>
      </c>
      <c r="B298" s="10" t="s">
        <v>291</v>
      </c>
      <c r="C298" s="309">
        <f>SUM(D298:J298)</f>
        <v>0</v>
      </c>
      <c r="D298" s="116">
        <f>SUM(D303)</f>
        <v>0</v>
      </c>
      <c r="E298" s="111">
        <f aca="true" t="shared" si="101" ref="E298:J298">SUM(E303)</f>
        <v>0</v>
      </c>
      <c r="F298" s="299">
        <f t="shared" si="101"/>
        <v>0</v>
      </c>
      <c r="G298" s="304">
        <f t="shared" si="101"/>
        <v>0</v>
      </c>
      <c r="H298" s="304">
        <f t="shared" si="101"/>
        <v>0</v>
      </c>
      <c r="I298" s="304">
        <f t="shared" si="101"/>
        <v>0</v>
      </c>
      <c r="J298" s="15">
        <f t="shared" si="101"/>
        <v>0</v>
      </c>
      <c r="K298" s="73"/>
    </row>
    <row r="299" spans="1:11" s="8" customFormat="1" ht="15" customHeight="1">
      <c r="A299" s="104"/>
      <c r="B299" s="5"/>
      <c r="C299" s="338"/>
      <c r="D299" s="156"/>
      <c r="E299" s="156"/>
      <c r="F299" s="339"/>
      <c r="G299" s="326"/>
      <c r="H299" s="326"/>
      <c r="I299" s="326"/>
      <c r="J299" s="6"/>
      <c r="K299" s="73"/>
    </row>
    <row r="300" spans="1:11" s="8" customFormat="1" ht="15" customHeight="1">
      <c r="A300" s="166"/>
      <c r="B300" s="432" t="s">
        <v>293</v>
      </c>
      <c r="C300" s="433"/>
      <c r="D300" s="433"/>
      <c r="E300" s="433"/>
      <c r="F300" s="433"/>
      <c r="G300" s="433"/>
      <c r="H300" s="433"/>
      <c r="I300" s="433"/>
      <c r="J300" s="433"/>
      <c r="K300" s="434"/>
    </row>
    <row r="301" spans="1:11" s="8" customFormat="1" ht="34.5" customHeight="1">
      <c r="A301" s="103" t="s">
        <v>528</v>
      </c>
      <c r="B301" s="43" t="s">
        <v>316</v>
      </c>
      <c r="C301" s="309">
        <f aca="true" t="shared" si="102" ref="C301:J301">SUM(C302:C303)</f>
        <v>93606.732</v>
      </c>
      <c r="D301" s="114">
        <f t="shared" si="102"/>
        <v>3606.732</v>
      </c>
      <c r="E301" s="114">
        <f t="shared" si="102"/>
        <v>7500</v>
      </c>
      <c r="F301" s="204">
        <f t="shared" si="102"/>
        <v>10000</v>
      </c>
      <c r="G301" s="204">
        <f t="shared" si="102"/>
        <v>10000</v>
      </c>
      <c r="H301" s="204">
        <f t="shared" si="102"/>
        <v>15000</v>
      </c>
      <c r="I301" s="204">
        <f t="shared" si="102"/>
        <v>15000</v>
      </c>
      <c r="J301" s="35">
        <f t="shared" si="102"/>
        <v>32500</v>
      </c>
      <c r="K301" s="73"/>
    </row>
    <row r="302" spans="1:11" s="8" customFormat="1" ht="15" customHeight="1">
      <c r="A302" s="99" t="s">
        <v>529</v>
      </c>
      <c r="B302" s="10" t="s">
        <v>289</v>
      </c>
      <c r="C302" s="309">
        <f>SUM(D302:J302)</f>
        <v>93606.732</v>
      </c>
      <c r="D302" s="111">
        <f>SUM(D307)</f>
        <v>3606.732</v>
      </c>
      <c r="E302" s="111">
        <f aca="true" t="shared" si="103" ref="E302:J302">SUM(E307)</f>
        <v>7500</v>
      </c>
      <c r="F302" s="299">
        <f t="shared" si="103"/>
        <v>10000</v>
      </c>
      <c r="G302" s="299">
        <f t="shared" si="103"/>
        <v>10000</v>
      </c>
      <c r="H302" s="299">
        <f t="shared" si="103"/>
        <v>15000</v>
      </c>
      <c r="I302" s="299">
        <f t="shared" si="103"/>
        <v>15000</v>
      </c>
      <c r="J302" s="52">
        <f t="shared" si="103"/>
        <v>32500</v>
      </c>
      <c r="K302" s="73"/>
    </row>
    <row r="303" spans="1:11" s="8" customFormat="1" ht="15" customHeight="1">
      <c r="A303" s="99" t="s">
        <v>530</v>
      </c>
      <c r="B303" s="10" t="s">
        <v>291</v>
      </c>
      <c r="C303" s="309">
        <f>SUM(D303:J303)</f>
        <v>0</v>
      </c>
      <c r="D303" s="116">
        <f>SUM(D308)</f>
        <v>0</v>
      </c>
      <c r="E303" s="111">
        <f aca="true" t="shared" si="104" ref="E303:J303">SUM(E308)</f>
        <v>0</v>
      </c>
      <c r="F303" s="299">
        <f t="shared" si="104"/>
        <v>0</v>
      </c>
      <c r="G303" s="304">
        <f t="shared" si="104"/>
        <v>0</v>
      </c>
      <c r="H303" s="304">
        <f t="shared" si="104"/>
        <v>0</v>
      </c>
      <c r="I303" s="304">
        <f t="shared" si="104"/>
        <v>0</v>
      </c>
      <c r="J303" s="15">
        <f t="shared" si="104"/>
        <v>0</v>
      </c>
      <c r="K303" s="73"/>
    </row>
    <row r="304" spans="1:11" s="8" customFormat="1" ht="15" customHeight="1">
      <c r="A304" s="104"/>
      <c r="B304" s="9"/>
      <c r="C304" s="308"/>
      <c r="D304" s="116"/>
      <c r="E304" s="116"/>
      <c r="F304" s="299"/>
      <c r="G304" s="304"/>
      <c r="H304" s="304"/>
      <c r="I304" s="304"/>
      <c r="J304" s="15"/>
      <c r="K304" s="73"/>
    </row>
    <row r="305" spans="1:11" s="8" customFormat="1" ht="15" customHeight="1">
      <c r="A305" s="167"/>
      <c r="B305" s="420" t="s">
        <v>305</v>
      </c>
      <c r="C305" s="421"/>
      <c r="D305" s="421"/>
      <c r="E305" s="421"/>
      <c r="F305" s="421"/>
      <c r="G305" s="421"/>
      <c r="H305" s="421"/>
      <c r="I305" s="421"/>
      <c r="J305" s="421"/>
      <c r="K305" s="422"/>
    </row>
    <row r="306" spans="1:11" s="41" customFormat="1" ht="31.5">
      <c r="A306" s="99" t="s">
        <v>641</v>
      </c>
      <c r="B306" s="46" t="s">
        <v>586</v>
      </c>
      <c r="C306" s="318">
        <f>SUM(D306:J306)</f>
        <v>93606.732</v>
      </c>
      <c r="D306" s="114">
        <f>SUM(D307:D308)</f>
        <v>3606.732</v>
      </c>
      <c r="E306" s="114">
        <f aca="true" t="shared" si="105" ref="E306:J306">SUM(E307:E308)</f>
        <v>7500</v>
      </c>
      <c r="F306" s="204">
        <f t="shared" si="105"/>
        <v>10000</v>
      </c>
      <c r="G306" s="204">
        <f t="shared" si="105"/>
        <v>10000</v>
      </c>
      <c r="H306" s="204">
        <f t="shared" si="105"/>
        <v>15000</v>
      </c>
      <c r="I306" s="204">
        <f t="shared" si="105"/>
        <v>15000</v>
      </c>
      <c r="J306" s="35">
        <f t="shared" si="105"/>
        <v>32500</v>
      </c>
      <c r="K306" s="76"/>
    </row>
    <row r="307" spans="1:11" s="14" customFormat="1" ht="15" customHeight="1">
      <c r="A307" s="99" t="s">
        <v>531</v>
      </c>
      <c r="B307" s="10" t="s">
        <v>289</v>
      </c>
      <c r="C307" s="309">
        <f>SUM(D307:J307)</f>
        <v>93606.732</v>
      </c>
      <c r="D307" s="111">
        <f>D311</f>
        <v>3606.732</v>
      </c>
      <c r="E307" s="111">
        <f aca="true" t="shared" si="106" ref="E307:J307">E311</f>
        <v>7500</v>
      </c>
      <c r="F307" s="299">
        <f>F311</f>
        <v>10000</v>
      </c>
      <c r="G307" s="299">
        <f t="shared" si="106"/>
        <v>10000</v>
      </c>
      <c r="H307" s="299">
        <f t="shared" si="106"/>
        <v>15000</v>
      </c>
      <c r="I307" s="299">
        <f t="shared" si="106"/>
        <v>15000</v>
      </c>
      <c r="J307" s="52">
        <f t="shared" si="106"/>
        <v>32500</v>
      </c>
      <c r="K307" s="77"/>
    </row>
    <row r="308" spans="1:11" s="8" customFormat="1" ht="15" customHeight="1">
      <c r="A308" s="99" t="s">
        <v>532</v>
      </c>
      <c r="B308" s="10" t="s">
        <v>291</v>
      </c>
      <c r="C308" s="309">
        <f>SUM(D308:J308)</f>
        <v>0</v>
      </c>
      <c r="D308" s="116">
        <f>D312</f>
        <v>0</v>
      </c>
      <c r="E308" s="111">
        <f aca="true" t="shared" si="107" ref="E308:J308">E312</f>
        <v>0</v>
      </c>
      <c r="F308" s="299">
        <f t="shared" si="107"/>
        <v>0</v>
      </c>
      <c r="G308" s="304">
        <f t="shared" si="107"/>
        <v>0</v>
      </c>
      <c r="H308" s="304">
        <f t="shared" si="107"/>
        <v>0</v>
      </c>
      <c r="I308" s="304">
        <f t="shared" si="107"/>
        <v>0</v>
      </c>
      <c r="J308" s="15">
        <f t="shared" si="107"/>
        <v>0</v>
      </c>
      <c r="K308" s="73"/>
    </row>
    <row r="309" spans="1:11" s="8" customFormat="1" ht="15" customHeight="1">
      <c r="A309" s="99"/>
      <c r="B309" s="11"/>
      <c r="C309" s="309"/>
      <c r="D309" s="116"/>
      <c r="E309" s="111"/>
      <c r="F309" s="299"/>
      <c r="G309" s="304"/>
      <c r="H309" s="304"/>
      <c r="I309" s="304"/>
      <c r="J309" s="15"/>
      <c r="K309" s="73"/>
    </row>
    <row r="310" spans="1:11" s="8" customFormat="1" ht="63" customHeight="1">
      <c r="A310" s="99" t="s">
        <v>533</v>
      </c>
      <c r="B310" s="43" t="s">
        <v>585</v>
      </c>
      <c r="C310" s="318">
        <f>SUM(D310:J310)</f>
        <v>93606.732</v>
      </c>
      <c r="D310" s="114">
        <f>SUM(D311:D312)</f>
        <v>3606.732</v>
      </c>
      <c r="E310" s="114">
        <f aca="true" t="shared" si="108" ref="E310:J310">SUM(E311:E312)</f>
        <v>7500</v>
      </c>
      <c r="F310" s="204">
        <f t="shared" si="108"/>
        <v>10000</v>
      </c>
      <c r="G310" s="204">
        <f t="shared" si="108"/>
        <v>10000</v>
      </c>
      <c r="H310" s="204">
        <f t="shared" si="108"/>
        <v>15000</v>
      </c>
      <c r="I310" s="204">
        <f t="shared" si="108"/>
        <v>15000</v>
      </c>
      <c r="J310" s="35">
        <f t="shared" si="108"/>
        <v>32500</v>
      </c>
      <c r="K310" s="77" t="s">
        <v>51</v>
      </c>
    </row>
    <row r="311" spans="1:11" s="8" customFormat="1" ht="15" customHeight="1">
      <c r="A311" s="99" t="s">
        <v>534</v>
      </c>
      <c r="B311" s="10" t="s">
        <v>289</v>
      </c>
      <c r="C311" s="309">
        <f>SUM(D311:J311)</f>
        <v>93606.732</v>
      </c>
      <c r="D311" s="111">
        <v>3606.732</v>
      </c>
      <c r="E311" s="111">
        <f>15000-3000-5000+500</f>
        <v>7500</v>
      </c>
      <c r="F311" s="299">
        <f>15000-5000</f>
        <v>10000</v>
      </c>
      <c r="G311" s="299">
        <v>10000</v>
      </c>
      <c r="H311" s="299">
        <v>15000</v>
      </c>
      <c r="I311" s="299">
        <v>15000</v>
      </c>
      <c r="J311" s="52">
        <f>16250+5000+11250</f>
        <v>32500</v>
      </c>
      <c r="K311" s="73"/>
    </row>
    <row r="312" spans="1:11" s="8" customFormat="1" ht="15" customHeight="1">
      <c r="A312" s="99" t="s">
        <v>535</v>
      </c>
      <c r="B312" s="10" t="s">
        <v>291</v>
      </c>
      <c r="C312" s="309">
        <f>SUM(D312:J312)</f>
        <v>0</v>
      </c>
      <c r="D312" s="116"/>
      <c r="E312" s="111"/>
      <c r="F312" s="299"/>
      <c r="G312" s="304"/>
      <c r="H312" s="304"/>
      <c r="I312" s="304"/>
      <c r="J312" s="15"/>
      <c r="K312" s="73"/>
    </row>
    <row r="313" spans="1:11" s="8" customFormat="1" ht="15" customHeight="1">
      <c r="A313" s="104"/>
      <c r="B313" s="9"/>
      <c r="C313" s="308"/>
      <c r="D313" s="116"/>
      <c r="E313" s="111"/>
      <c r="F313" s="299"/>
      <c r="G313" s="304"/>
      <c r="H313" s="304"/>
      <c r="I313" s="304"/>
      <c r="J313" s="15"/>
      <c r="K313" s="73"/>
    </row>
    <row r="314" spans="1:11" s="8" customFormat="1" ht="15" customHeight="1">
      <c r="A314" s="166"/>
      <c r="B314" s="432" t="s">
        <v>297</v>
      </c>
      <c r="C314" s="433"/>
      <c r="D314" s="433"/>
      <c r="E314" s="433"/>
      <c r="F314" s="433"/>
      <c r="G314" s="433"/>
      <c r="H314" s="433"/>
      <c r="I314" s="433"/>
      <c r="J314" s="433"/>
      <c r="K314" s="434"/>
    </row>
    <row r="315" spans="1:11" s="8" customFormat="1" ht="31.5">
      <c r="A315" s="103" t="s">
        <v>536</v>
      </c>
      <c r="B315" s="43" t="s">
        <v>298</v>
      </c>
      <c r="C315" s="309">
        <f>SUM(C316)</f>
        <v>762.552</v>
      </c>
      <c r="D315" s="115">
        <f>SUM(D316:D316)</f>
        <v>12.552</v>
      </c>
      <c r="E315" s="114">
        <f aca="true" t="shared" si="109" ref="E315:J315">SUM(E316:E316)</f>
        <v>0</v>
      </c>
      <c r="F315" s="204">
        <f t="shared" si="109"/>
        <v>0</v>
      </c>
      <c r="G315" s="308">
        <f t="shared" si="109"/>
        <v>50</v>
      </c>
      <c r="H315" s="308">
        <f t="shared" si="109"/>
        <v>300</v>
      </c>
      <c r="I315" s="308">
        <f t="shared" si="109"/>
        <v>200</v>
      </c>
      <c r="J315" s="16">
        <f t="shared" si="109"/>
        <v>200</v>
      </c>
      <c r="K315" s="73"/>
    </row>
    <row r="316" spans="1:11" s="8" customFormat="1" ht="15" customHeight="1">
      <c r="A316" s="103" t="s">
        <v>537</v>
      </c>
      <c r="B316" s="10" t="s">
        <v>289</v>
      </c>
      <c r="C316" s="309">
        <f>SUM(D316:J316)</f>
        <v>762.552</v>
      </c>
      <c r="D316" s="117">
        <f>SUM(D319+D322)</f>
        <v>12.552</v>
      </c>
      <c r="E316" s="95">
        <f aca="true" t="shared" si="110" ref="E316:J316">SUM(E319+E322)</f>
        <v>0</v>
      </c>
      <c r="F316" s="315">
        <f t="shared" si="110"/>
        <v>0</v>
      </c>
      <c r="G316" s="316">
        <f t="shared" si="110"/>
        <v>50</v>
      </c>
      <c r="H316" s="316">
        <f t="shared" si="110"/>
        <v>300</v>
      </c>
      <c r="I316" s="316">
        <f t="shared" si="110"/>
        <v>200</v>
      </c>
      <c r="J316" s="22">
        <f t="shared" si="110"/>
        <v>200</v>
      </c>
      <c r="K316" s="73"/>
    </row>
    <row r="317" spans="1:11" s="8" customFormat="1" ht="15" customHeight="1">
      <c r="A317" s="103"/>
      <c r="B317" s="12"/>
      <c r="C317" s="340"/>
      <c r="D317" s="156"/>
      <c r="E317" s="157"/>
      <c r="F317" s="339"/>
      <c r="G317" s="326"/>
      <c r="H317" s="326"/>
      <c r="I317" s="326"/>
      <c r="J317" s="6"/>
      <c r="K317" s="73"/>
    </row>
    <row r="318" spans="1:11" s="8" customFormat="1" ht="52.5" customHeight="1">
      <c r="A318" s="103" t="s">
        <v>538</v>
      </c>
      <c r="B318" s="43" t="s">
        <v>587</v>
      </c>
      <c r="C318" s="309">
        <f>SUM(C319)</f>
        <v>401.552</v>
      </c>
      <c r="D318" s="115">
        <f>SUM(D319:D319)</f>
        <v>1.552</v>
      </c>
      <c r="E318" s="114">
        <f aca="true" t="shared" si="111" ref="E318:J318">SUM(E319:E319)</f>
        <v>0</v>
      </c>
      <c r="F318" s="204">
        <f t="shared" si="111"/>
        <v>0</v>
      </c>
      <c r="G318" s="308">
        <f t="shared" si="111"/>
        <v>50</v>
      </c>
      <c r="H318" s="308">
        <f t="shared" si="111"/>
        <v>150</v>
      </c>
      <c r="I318" s="308">
        <f t="shared" si="111"/>
        <v>100</v>
      </c>
      <c r="J318" s="16">
        <f t="shared" si="111"/>
        <v>100</v>
      </c>
      <c r="K318" s="77" t="s">
        <v>52</v>
      </c>
    </row>
    <row r="319" spans="1:11" s="8" customFormat="1" ht="15" customHeight="1">
      <c r="A319" s="103" t="s">
        <v>539</v>
      </c>
      <c r="B319" s="10" t="s">
        <v>289</v>
      </c>
      <c r="C319" s="309">
        <f>SUM(D319:J319)</f>
        <v>401.552</v>
      </c>
      <c r="D319" s="95">
        <v>1.552</v>
      </c>
      <c r="E319" s="95">
        <v>0</v>
      </c>
      <c r="F319" s="315">
        <v>0</v>
      </c>
      <c r="G319" s="316">
        <f>50</f>
        <v>50</v>
      </c>
      <c r="H319" s="316">
        <f>150</f>
        <v>150</v>
      </c>
      <c r="I319" s="316">
        <f>100</f>
        <v>100</v>
      </c>
      <c r="J319" s="22">
        <v>100</v>
      </c>
      <c r="K319" s="77"/>
    </row>
    <row r="320" spans="1:11" s="8" customFormat="1" ht="15" customHeight="1">
      <c r="A320" s="103"/>
      <c r="B320" s="10"/>
      <c r="C320" s="309"/>
      <c r="D320" s="95"/>
      <c r="E320" s="95"/>
      <c r="F320" s="315"/>
      <c r="G320" s="316"/>
      <c r="H320" s="316"/>
      <c r="I320" s="316"/>
      <c r="J320" s="22"/>
      <c r="K320" s="77"/>
    </row>
    <row r="321" spans="1:11" s="8" customFormat="1" ht="51" customHeight="1">
      <c r="A321" s="103" t="s">
        <v>540</v>
      </c>
      <c r="B321" s="43" t="s">
        <v>588</v>
      </c>
      <c r="C321" s="309">
        <f>SUM(C322)</f>
        <v>361</v>
      </c>
      <c r="D321" s="114">
        <f>SUM(D322:D322)</f>
        <v>11</v>
      </c>
      <c r="E321" s="114">
        <f aca="true" t="shared" si="112" ref="E321:J321">SUM(E322:E322)</f>
        <v>0</v>
      </c>
      <c r="F321" s="204">
        <f t="shared" si="112"/>
        <v>0</v>
      </c>
      <c r="G321" s="308">
        <f t="shared" si="112"/>
        <v>0</v>
      </c>
      <c r="H321" s="308">
        <f t="shared" si="112"/>
        <v>150</v>
      </c>
      <c r="I321" s="308">
        <f t="shared" si="112"/>
        <v>100</v>
      </c>
      <c r="J321" s="16">
        <f t="shared" si="112"/>
        <v>100</v>
      </c>
      <c r="K321" s="77" t="s">
        <v>53</v>
      </c>
    </row>
    <row r="322" spans="1:11" s="8" customFormat="1" ht="15" customHeight="1">
      <c r="A322" s="103" t="s">
        <v>541</v>
      </c>
      <c r="B322" s="10" t="s">
        <v>289</v>
      </c>
      <c r="C322" s="309">
        <f>SUM(D322:J322)</f>
        <v>361</v>
      </c>
      <c r="D322" s="95">
        <f>150-139</f>
        <v>11</v>
      </c>
      <c r="E322" s="95">
        <v>0</v>
      </c>
      <c r="F322" s="315">
        <v>0</v>
      </c>
      <c r="G322" s="316">
        <v>0</v>
      </c>
      <c r="H322" s="316">
        <f>150</f>
        <v>150</v>
      </c>
      <c r="I322" s="316">
        <f>100</f>
        <v>100</v>
      </c>
      <c r="J322" s="22">
        <v>100</v>
      </c>
      <c r="K322" s="73"/>
    </row>
    <row r="323" spans="1:11" s="8" customFormat="1" ht="15" customHeight="1">
      <c r="A323" s="104"/>
      <c r="B323" s="9"/>
      <c r="C323" s="308"/>
      <c r="D323" s="117"/>
      <c r="E323" s="95"/>
      <c r="F323" s="315"/>
      <c r="G323" s="316"/>
      <c r="H323" s="316"/>
      <c r="I323" s="316"/>
      <c r="J323" s="22"/>
      <c r="K323" s="73"/>
    </row>
    <row r="324" spans="1:11" s="7" customFormat="1" ht="15" customHeight="1">
      <c r="A324" s="165"/>
      <c r="B324" s="429" t="s">
        <v>284</v>
      </c>
      <c r="C324" s="430"/>
      <c r="D324" s="430"/>
      <c r="E324" s="430"/>
      <c r="F324" s="430"/>
      <c r="G324" s="430"/>
      <c r="H324" s="430"/>
      <c r="I324" s="430"/>
      <c r="J324" s="430"/>
      <c r="K324" s="431"/>
    </row>
    <row r="325" spans="1:11" s="8" customFormat="1" ht="15.75">
      <c r="A325" s="103" t="s">
        <v>542</v>
      </c>
      <c r="B325" s="43" t="s">
        <v>321</v>
      </c>
      <c r="C325" s="309">
        <f>SUM(C326:C329)</f>
        <v>130821.947</v>
      </c>
      <c r="D325" s="115">
        <f>SUM(D326:D329)</f>
        <v>21288.949999999997</v>
      </c>
      <c r="E325" s="114">
        <f aca="true" t="shared" si="113" ref="E325:J325">SUM(E326:E329)</f>
        <v>29337.197</v>
      </c>
      <c r="F325" s="204">
        <f t="shared" si="113"/>
        <v>23899.6</v>
      </c>
      <c r="G325" s="308">
        <f t="shared" si="113"/>
        <v>11708.2</v>
      </c>
      <c r="H325" s="308">
        <f t="shared" si="113"/>
        <v>11910.2</v>
      </c>
      <c r="I325" s="308">
        <f t="shared" si="113"/>
        <v>11957.5</v>
      </c>
      <c r="J325" s="16">
        <f t="shared" si="113"/>
        <v>20720.3</v>
      </c>
      <c r="K325" s="73"/>
    </row>
    <row r="326" spans="1:11" s="8" customFormat="1" ht="15" customHeight="1">
      <c r="A326" s="103" t="s">
        <v>543</v>
      </c>
      <c r="B326" s="10" t="s">
        <v>289</v>
      </c>
      <c r="C326" s="309">
        <f>SUM(D326:J326)</f>
        <v>78690.516</v>
      </c>
      <c r="D326" s="117">
        <f aca="true" t="shared" si="114" ref="D326:J326">SUM(D332+D338)</f>
        <v>9510.15</v>
      </c>
      <c r="E326" s="95">
        <f t="shared" si="114"/>
        <v>12406.866</v>
      </c>
      <c r="F326" s="315">
        <f t="shared" si="114"/>
        <v>11267.6</v>
      </c>
      <c r="G326" s="316">
        <f t="shared" si="114"/>
        <v>11708.2</v>
      </c>
      <c r="H326" s="316">
        <f t="shared" si="114"/>
        <v>11910.2</v>
      </c>
      <c r="I326" s="316">
        <f t="shared" si="114"/>
        <v>11957.5</v>
      </c>
      <c r="J326" s="22">
        <f t="shared" si="114"/>
        <v>9930</v>
      </c>
      <c r="K326" s="73"/>
    </row>
    <row r="327" spans="1:11" s="8" customFormat="1" ht="15" customHeight="1">
      <c r="A327" s="103" t="s">
        <v>544</v>
      </c>
      <c r="B327" s="10" t="s">
        <v>290</v>
      </c>
      <c r="C327" s="309">
        <f>SUM(D327:J327)</f>
        <v>0</v>
      </c>
      <c r="D327" s="117"/>
      <c r="E327" s="95"/>
      <c r="F327" s="315"/>
      <c r="G327" s="316"/>
      <c r="H327" s="316"/>
      <c r="I327" s="316"/>
      <c r="J327" s="22"/>
      <c r="K327" s="73"/>
    </row>
    <row r="328" spans="1:11" s="8" customFormat="1" ht="15" customHeight="1">
      <c r="A328" s="103" t="s">
        <v>545</v>
      </c>
      <c r="B328" s="10" t="s">
        <v>291</v>
      </c>
      <c r="C328" s="309">
        <f>SUM(D328:J328)</f>
        <v>52131.431</v>
      </c>
      <c r="D328" s="117">
        <f>SUM(D340)</f>
        <v>11778.8</v>
      </c>
      <c r="E328" s="95">
        <f aca="true" t="shared" si="115" ref="E328:J328">SUM(E340)</f>
        <v>16930.331</v>
      </c>
      <c r="F328" s="315">
        <f t="shared" si="115"/>
        <v>12632</v>
      </c>
      <c r="G328" s="316">
        <f t="shared" si="115"/>
        <v>0</v>
      </c>
      <c r="H328" s="316">
        <f t="shared" si="115"/>
        <v>0</v>
      </c>
      <c r="I328" s="316">
        <f t="shared" si="115"/>
        <v>0</v>
      </c>
      <c r="J328" s="22">
        <f t="shared" si="115"/>
        <v>10790.3</v>
      </c>
      <c r="K328" s="73"/>
    </row>
    <row r="329" spans="1:11" s="8" customFormat="1" ht="15" customHeight="1">
      <c r="A329" s="103" t="s">
        <v>599</v>
      </c>
      <c r="B329" s="10" t="s">
        <v>292</v>
      </c>
      <c r="C329" s="309">
        <f>SUM(D329:J329)</f>
        <v>0</v>
      </c>
      <c r="D329" s="117"/>
      <c r="E329" s="95"/>
      <c r="F329" s="315"/>
      <c r="G329" s="316"/>
      <c r="H329" s="316"/>
      <c r="I329" s="316"/>
      <c r="J329" s="22"/>
      <c r="K329" s="73"/>
    </row>
    <row r="330" spans="1:11" s="8" customFormat="1" ht="15" customHeight="1">
      <c r="A330" s="168"/>
      <c r="B330" s="435" t="s">
        <v>293</v>
      </c>
      <c r="C330" s="436"/>
      <c r="D330" s="436"/>
      <c r="E330" s="436"/>
      <c r="F330" s="436"/>
      <c r="G330" s="436"/>
      <c r="H330" s="436"/>
      <c r="I330" s="436"/>
      <c r="J330" s="436"/>
      <c r="K330" s="437"/>
    </row>
    <row r="331" spans="1:11" s="8" customFormat="1" ht="35.25" customHeight="1">
      <c r="A331" s="103" t="s">
        <v>600</v>
      </c>
      <c r="B331" s="43" t="s">
        <v>316</v>
      </c>
      <c r="C331" s="309">
        <v>0</v>
      </c>
      <c r="D331" s="115"/>
      <c r="E331" s="115"/>
      <c r="F331" s="114"/>
      <c r="G331" s="115"/>
      <c r="H331" s="115"/>
      <c r="I331" s="115"/>
      <c r="J331" s="16"/>
      <c r="K331" s="73"/>
    </row>
    <row r="332" spans="1:11" s="8" customFormat="1" ht="15" customHeight="1">
      <c r="A332" s="103" t="s">
        <v>589</v>
      </c>
      <c r="B332" s="10" t="s">
        <v>289</v>
      </c>
      <c r="C332" s="309">
        <f>SUM(D332:J332)</f>
        <v>0</v>
      </c>
      <c r="D332" s="117"/>
      <c r="E332" s="117"/>
      <c r="F332" s="95"/>
      <c r="G332" s="117"/>
      <c r="H332" s="117"/>
      <c r="I332" s="117"/>
      <c r="J332" s="22"/>
      <c r="K332" s="73"/>
    </row>
    <row r="333" spans="1:11" s="8" customFormat="1" ht="15" customHeight="1">
      <c r="A333" s="169"/>
      <c r="B333" s="438" t="s">
        <v>294</v>
      </c>
      <c r="C333" s="439"/>
      <c r="D333" s="439"/>
      <c r="E333" s="439"/>
      <c r="F333" s="439"/>
      <c r="G333" s="439"/>
      <c r="H333" s="439"/>
      <c r="I333" s="439"/>
      <c r="J333" s="439"/>
      <c r="K333" s="440"/>
    </row>
    <row r="334" spans="1:11" s="8" customFormat="1" ht="48.75" customHeight="1">
      <c r="A334" s="103" t="s">
        <v>590</v>
      </c>
      <c r="B334" s="43" t="s">
        <v>574</v>
      </c>
      <c r="C334" s="309">
        <v>0</v>
      </c>
      <c r="D334" s="115"/>
      <c r="E334" s="115"/>
      <c r="F334" s="204"/>
      <c r="G334" s="308"/>
      <c r="H334" s="308"/>
      <c r="I334" s="308"/>
      <c r="J334" s="16"/>
      <c r="K334" s="73"/>
    </row>
    <row r="335" spans="1:11" s="8" customFormat="1" ht="15" customHeight="1">
      <c r="A335" s="103" t="s">
        <v>591</v>
      </c>
      <c r="B335" s="10" t="s">
        <v>289</v>
      </c>
      <c r="C335" s="309">
        <f>SUM(D335:J335)</f>
        <v>0</v>
      </c>
      <c r="D335" s="117"/>
      <c r="E335" s="117"/>
      <c r="F335" s="315"/>
      <c r="G335" s="316"/>
      <c r="H335" s="316"/>
      <c r="I335" s="316"/>
      <c r="J335" s="22"/>
      <c r="K335" s="73"/>
    </row>
    <row r="336" spans="1:11" s="8" customFormat="1" ht="15" customHeight="1">
      <c r="A336" s="166"/>
      <c r="B336" s="432" t="s">
        <v>297</v>
      </c>
      <c r="C336" s="433"/>
      <c r="D336" s="433"/>
      <c r="E336" s="433"/>
      <c r="F336" s="433"/>
      <c r="G336" s="433"/>
      <c r="H336" s="433"/>
      <c r="I336" s="433"/>
      <c r="J336" s="433"/>
      <c r="K336" s="434"/>
    </row>
    <row r="337" spans="1:11" s="8" customFormat="1" ht="31.5">
      <c r="A337" s="103" t="s">
        <v>592</v>
      </c>
      <c r="B337" s="43" t="s">
        <v>298</v>
      </c>
      <c r="C337" s="309">
        <f aca="true" t="shared" si="116" ref="C337:J337">SUM(C338:C340)</f>
        <v>130821.947</v>
      </c>
      <c r="D337" s="115">
        <f t="shared" si="116"/>
        <v>21288.949999999997</v>
      </c>
      <c r="E337" s="114">
        <f t="shared" si="116"/>
        <v>29337.197</v>
      </c>
      <c r="F337" s="204">
        <f t="shared" si="116"/>
        <v>23899.6</v>
      </c>
      <c r="G337" s="308">
        <f t="shared" si="116"/>
        <v>11708.2</v>
      </c>
      <c r="H337" s="308">
        <f t="shared" si="116"/>
        <v>11910.2</v>
      </c>
      <c r="I337" s="308">
        <f t="shared" si="116"/>
        <v>11957.5</v>
      </c>
      <c r="J337" s="16">
        <f t="shared" si="116"/>
        <v>20720.3</v>
      </c>
      <c r="K337" s="73"/>
    </row>
    <row r="338" spans="1:11" s="8" customFormat="1" ht="15" customHeight="1">
      <c r="A338" s="103" t="s">
        <v>546</v>
      </c>
      <c r="B338" s="10" t="s">
        <v>289</v>
      </c>
      <c r="C338" s="309">
        <f>SUM(D338:J338)</f>
        <v>78690.516</v>
      </c>
      <c r="D338" s="117">
        <f aca="true" t="shared" si="117" ref="D338:J338">SUM(D343+D347+D350+D354)</f>
        <v>9510.15</v>
      </c>
      <c r="E338" s="95">
        <f>SUM(E343+E347+E350+E354)</f>
        <v>12406.866</v>
      </c>
      <c r="F338" s="315">
        <f t="shared" si="117"/>
        <v>11267.6</v>
      </c>
      <c r="G338" s="316">
        <f t="shared" si="117"/>
        <v>11708.2</v>
      </c>
      <c r="H338" s="316">
        <f>SUM(H343+H347+H350+H354)</f>
        <v>11910.2</v>
      </c>
      <c r="I338" s="316">
        <f t="shared" si="117"/>
        <v>11957.5</v>
      </c>
      <c r="J338" s="22">
        <f t="shared" si="117"/>
        <v>9930</v>
      </c>
      <c r="K338" s="73"/>
    </row>
    <row r="339" spans="1:11" s="8" customFormat="1" ht="15" customHeight="1">
      <c r="A339" s="103" t="s">
        <v>547</v>
      </c>
      <c r="B339" s="10" t="s">
        <v>290</v>
      </c>
      <c r="C339" s="309">
        <f>SUM(D339:J339)</f>
        <v>0</v>
      </c>
      <c r="D339" s="117"/>
      <c r="E339" s="95"/>
      <c r="F339" s="315"/>
      <c r="G339" s="316"/>
      <c r="H339" s="316"/>
      <c r="I339" s="316"/>
      <c r="J339" s="22"/>
      <c r="K339" s="73"/>
    </row>
    <row r="340" spans="1:11" s="8" customFormat="1" ht="15" customHeight="1">
      <c r="A340" s="103" t="s">
        <v>548</v>
      </c>
      <c r="B340" s="10" t="s">
        <v>291</v>
      </c>
      <c r="C340" s="309">
        <f>SUM(D340:J340)</f>
        <v>52131.431</v>
      </c>
      <c r="D340" s="95">
        <f aca="true" t="shared" si="118" ref="D340:J340">SUM(D351+D344+D355)</f>
        <v>11778.8</v>
      </c>
      <c r="E340" s="95">
        <f t="shared" si="118"/>
        <v>16930.331</v>
      </c>
      <c r="F340" s="315">
        <f t="shared" si="118"/>
        <v>12632</v>
      </c>
      <c r="G340" s="315">
        <f t="shared" si="118"/>
        <v>0</v>
      </c>
      <c r="H340" s="315">
        <f t="shared" si="118"/>
        <v>0</v>
      </c>
      <c r="I340" s="315">
        <f t="shared" si="118"/>
        <v>0</v>
      </c>
      <c r="J340" s="95">
        <f t="shared" si="118"/>
        <v>10790.3</v>
      </c>
      <c r="K340" s="73"/>
    </row>
    <row r="341" spans="1:11" s="8" customFormat="1" ht="15" customHeight="1">
      <c r="A341" s="103"/>
      <c r="B341" s="10"/>
      <c r="C341" s="309"/>
      <c r="D341" s="117"/>
      <c r="E341" s="95"/>
      <c r="F341" s="315"/>
      <c r="G341" s="316"/>
      <c r="H341" s="316"/>
      <c r="I341" s="316"/>
      <c r="J341" s="22"/>
      <c r="K341" s="73"/>
    </row>
    <row r="342" spans="1:11" s="8" customFormat="1" ht="83.25" customHeight="1">
      <c r="A342" s="103" t="s">
        <v>549</v>
      </c>
      <c r="B342" s="43" t="s">
        <v>317</v>
      </c>
      <c r="C342" s="309">
        <f>SUM(C343)</f>
        <v>16443.4</v>
      </c>
      <c r="D342" s="115">
        <f aca="true" t="shared" si="119" ref="D342:J342">SUM(D343:D344)</f>
        <v>3671.3</v>
      </c>
      <c r="E342" s="114">
        <f t="shared" si="119"/>
        <v>9203.4</v>
      </c>
      <c r="F342" s="204">
        <f t="shared" si="119"/>
        <v>3683.4</v>
      </c>
      <c r="G342" s="308">
        <f t="shared" si="119"/>
        <v>2000</v>
      </c>
      <c r="H342" s="308">
        <f t="shared" si="119"/>
        <v>2000</v>
      </c>
      <c r="I342" s="308">
        <f t="shared" si="119"/>
        <v>2000</v>
      </c>
      <c r="J342" s="16">
        <f t="shared" si="119"/>
        <v>2000</v>
      </c>
      <c r="K342" s="77" t="s">
        <v>54</v>
      </c>
    </row>
    <row r="343" spans="1:11" s="8" customFormat="1" ht="15" customHeight="1">
      <c r="A343" s="103" t="s">
        <v>550</v>
      </c>
      <c r="B343" s="10" t="s">
        <v>289</v>
      </c>
      <c r="C343" s="309">
        <f>SUM(D343:J343)</f>
        <v>16443.4</v>
      </c>
      <c r="D343" s="117">
        <v>2000</v>
      </c>
      <c r="E343" s="95">
        <f>2000+1001.7+1600</f>
        <v>4601.7</v>
      </c>
      <c r="F343" s="315">
        <f>2000-158.3</f>
        <v>1841.7</v>
      </c>
      <c r="G343" s="316">
        <v>2000</v>
      </c>
      <c r="H343" s="316">
        <v>2000</v>
      </c>
      <c r="I343" s="316">
        <v>2000</v>
      </c>
      <c r="J343" s="22">
        <v>2000</v>
      </c>
      <c r="K343" s="77"/>
    </row>
    <row r="344" spans="1:11" s="8" customFormat="1" ht="15" customHeight="1">
      <c r="A344" s="104" t="s">
        <v>551</v>
      </c>
      <c r="B344" s="11" t="s">
        <v>291</v>
      </c>
      <c r="C344" s="309">
        <f>SUM(D344:J344)</f>
        <v>8114.7</v>
      </c>
      <c r="D344" s="117">
        <f>1671.4-0.1</f>
        <v>1671.3000000000002</v>
      </c>
      <c r="E344" s="95">
        <f>4601.7</f>
        <v>4601.7</v>
      </c>
      <c r="F344" s="315">
        <f>1841.7</f>
        <v>1841.7</v>
      </c>
      <c r="G344" s="316"/>
      <c r="H344" s="316"/>
      <c r="I344" s="316"/>
      <c r="J344" s="22"/>
      <c r="K344" s="77"/>
    </row>
    <row r="345" spans="1:11" s="8" customFormat="1" ht="15" customHeight="1">
      <c r="A345" s="103"/>
      <c r="B345" s="11"/>
      <c r="C345" s="309"/>
      <c r="D345" s="117"/>
      <c r="E345" s="95"/>
      <c r="F345" s="315"/>
      <c r="G345" s="316"/>
      <c r="H345" s="316"/>
      <c r="I345" s="316"/>
      <c r="J345" s="22"/>
      <c r="K345" s="77"/>
    </row>
    <row r="346" spans="1:11" s="8" customFormat="1" ht="50.25" customHeight="1">
      <c r="A346" s="103" t="s">
        <v>552</v>
      </c>
      <c r="B346" s="43" t="s">
        <v>322</v>
      </c>
      <c r="C346" s="309">
        <f>SUM(C347)</f>
        <v>13208.3</v>
      </c>
      <c r="D346" s="115">
        <f aca="true" t="shared" si="120" ref="D346:J346">SUM(D347:D347)</f>
        <v>1600</v>
      </c>
      <c r="E346" s="114">
        <f t="shared" si="120"/>
        <v>1450</v>
      </c>
      <c r="F346" s="204">
        <f t="shared" si="120"/>
        <v>2158.3</v>
      </c>
      <c r="G346" s="308">
        <f t="shared" si="120"/>
        <v>2000</v>
      </c>
      <c r="H346" s="308">
        <f t="shared" si="120"/>
        <v>2000</v>
      </c>
      <c r="I346" s="308">
        <f t="shared" si="120"/>
        <v>2000</v>
      </c>
      <c r="J346" s="16">
        <f t="shared" si="120"/>
        <v>2000</v>
      </c>
      <c r="K346" s="77" t="s">
        <v>55</v>
      </c>
    </row>
    <row r="347" spans="1:11" s="8" customFormat="1" ht="15" customHeight="1">
      <c r="A347" s="103" t="s">
        <v>553</v>
      </c>
      <c r="B347" s="10" t="s">
        <v>289</v>
      </c>
      <c r="C347" s="309">
        <f>SUM(D347:J347)</f>
        <v>13208.3</v>
      </c>
      <c r="D347" s="117">
        <f>2000-400</f>
        <v>1600</v>
      </c>
      <c r="E347" s="95">
        <v>1450</v>
      </c>
      <c r="F347" s="315">
        <f>2000+158.3</f>
        <v>2158.3</v>
      </c>
      <c r="G347" s="316">
        <v>2000</v>
      </c>
      <c r="H347" s="316">
        <v>2000</v>
      </c>
      <c r="I347" s="316">
        <v>2000</v>
      </c>
      <c r="J347" s="22">
        <v>2000</v>
      </c>
      <c r="K347" s="73"/>
    </row>
    <row r="348" spans="1:11" s="8" customFormat="1" ht="15" customHeight="1">
      <c r="A348" s="103"/>
      <c r="B348" s="10"/>
      <c r="C348" s="309"/>
      <c r="D348" s="117"/>
      <c r="E348" s="95"/>
      <c r="F348" s="315"/>
      <c r="G348" s="316"/>
      <c r="H348" s="316"/>
      <c r="I348" s="316"/>
      <c r="J348" s="22"/>
      <c r="K348" s="73"/>
    </row>
    <row r="349" spans="1:11" s="8" customFormat="1" ht="50.25" customHeight="1">
      <c r="A349" s="103" t="s">
        <v>554</v>
      </c>
      <c r="B349" s="43" t="s">
        <v>318</v>
      </c>
      <c r="C349" s="318">
        <f>SUM(C350:C351)</f>
        <v>77070.726</v>
      </c>
      <c r="D349" s="114">
        <f>SUM(D350:D351)</f>
        <v>14317.66</v>
      </c>
      <c r="E349" s="114">
        <f aca="true" t="shared" si="121" ref="E349:J349">SUM(E350:E351)</f>
        <v>15015.466</v>
      </c>
      <c r="F349" s="204">
        <f t="shared" si="121"/>
        <v>15947.3</v>
      </c>
      <c r="G349" s="204">
        <f t="shared" si="121"/>
        <v>5500</v>
      </c>
      <c r="H349" s="204">
        <f t="shared" si="121"/>
        <v>5500</v>
      </c>
      <c r="I349" s="204">
        <f t="shared" si="121"/>
        <v>5500</v>
      </c>
      <c r="J349" s="35">
        <f t="shared" si="121"/>
        <v>15290.3</v>
      </c>
      <c r="K349" s="77" t="s">
        <v>56</v>
      </c>
    </row>
    <row r="350" spans="1:11" s="8" customFormat="1" ht="15" customHeight="1">
      <c r="A350" s="103" t="s">
        <v>555</v>
      </c>
      <c r="B350" s="10" t="s">
        <v>289</v>
      </c>
      <c r="C350" s="318">
        <f>SUM(D350:J350)</f>
        <v>34592.326</v>
      </c>
      <c r="D350" s="111">
        <v>4210.16</v>
      </c>
      <c r="E350" s="111">
        <f>4000+225.166</f>
        <v>4225.166</v>
      </c>
      <c r="F350" s="299">
        <f>4500+657</f>
        <v>5157</v>
      </c>
      <c r="G350" s="299">
        <v>5500</v>
      </c>
      <c r="H350" s="299">
        <v>5500</v>
      </c>
      <c r="I350" s="299">
        <v>5500</v>
      </c>
      <c r="J350" s="52">
        <v>4500</v>
      </c>
      <c r="K350" s="77"/>
    </row>
    <row r="351" spans="1:11" s="8" customFormat="1" ht="15" customHeight="1">
      <c r="A351" s="103" t="s">
        <v>556</v>
      </c>
      <c r="B351" s="10" t="s">
        <v>291</v>
      </c>
      <c r="C351" s="318">
        <f>SUM(D351:J351)</f>
        <v>42478.399999999994</v>
      </c>
      <c r="D351" s="111">
        <v>10107.5</v>
      </c>
      <c r="E351" s="111">
        <v>10790.3</v>
      </c>
      <c r="F351" s="299">
        <f>10790.3</f>
        <v>10790.3</v>
      </c>
      <c r="G351" s="299"/>
      <c r="H351" s="299"/>
      <c r="I351" s="299"/>
      <c r="J351" s="52">
        <v>10790.3</v>
      </c>
      <c r="K351" s="77"/>
    </row>
    <row r="352" spans="1:11" s="8" customFormat="1" ht="15" customHeight="1">
      <c r="A352" s="103"/>
      <c r="B352" s="10"/>
      <c r="C352" s="318"/>
      <c r="D352" s="111"/>
      <c r="E352" s="111"/>
      <c r="F352" s="299"/>
      <c r="G352" s="299"/>
      <c r="H352" s="299"/>
      <c r="I352" s="299"/>
      <c r="J352" s="52"/>
      <c r="K352" s="77"/>
    </row>
    <row r="353" spans="1:11" s="8" customFormat="1" ht="65.25" customHeight="1">
      <c r="A353" s="103" t="s">
        <v>557</v>
      </c>
      <c r="B353" s="43" t="s">
        <v>323</v>
      </c>
      <c r="C353" s="318">
        <f>SUM(D353:J353)</f>
        <v>15984.821</v>
      </c>
      <c r="D353" s="114">
        <f>SUM(D354:D355)</f>
        <v>1699.99</v>
      </c>
      <c r="E353" s="114">
        <f aca="true" t="shared" si="122" ref="E353:J353">SUM(E354:E355)</f>
        <v>3668.331</v>
      </c>
      <c r="F353" s="204">
        <f t="shared" si="122"/>
        <v>2110.6</v>
      </c>
      <c r="G353" s="204">
        <f t="shared" si="122"/>
        <v>2208.2</v>
      </c>
      <c r="H353" s="204">
        <f t="shared" si="122"/>
        <v>2410.2</v>
      </c>
      <c r="I353" s="204">
        <f t="shared" si="122"/>
        <v>2457.5</v>
      </c>
      <c r="J353" s="35">
        <f t="shared" si="122"/>
        <v>1430</v>
      </c>
      <c r="K353" s="77" t="s">
        <v>54</v>
      </c>
    </row>
    <row r="354" spans="1:11" s="8" customFormat="1" ht="15" customHeight="1">
      <c r="A354" s="103" t="s">
        <v>558</v>
      </c>
      <c r="B354" s="10" t="s">
        <v>289</v>
      </c>
      <c r="C354" s="309">
        <f>SUM(D354:J354)</f>
        <v>14446.49</v>
      </c>
      <c r="D354" s="95">
        <v>1699.99</v>
      </c>
      <c r="E354" s="95">
        <f>1950+120+60</f>
        <v>2130</v>
      </c>
      <c r="F354" s="315">
        <v>2110.6</v>
      </c>
      <c r="G354" s="316">
        <f>2208.2</f>
        <v>2208.2</v>
      </c>
      <c r="H354" s="316">
        <f>2410.2</f>
        <v>2410.2</v>
      </c>
      <c r="I354" s="316">
        <f>2457.5</f>
        <v>2457.5</v>
      </c>
      <c r="J354" s="22">
        <v>1430</v>
      </c>
      <c r="K354" s="73"/>
    </row>
    <row r="355" spans="1:11" s="8" customFormat="1" ht="15" customHeight="1">
      <c r="A355" s="103" t="s">
        <v>559</v>
      </c>
      <c r="B355" s="10" t="s">
        <v>291</v>
      </c>
      <c r="C355" s="309">
        <f>SUM(D355:J355)</f>
        <v>1538.331</v>
      </c>
      <c r="D355" s="95"/>
      <c r="E355" s="95">
        <v>1538.331</v>
      </c>
      <c r="F355" s="315"/>
      <c r="G355" s="316"/>
      <c r="H355" s="316"/>
      <c r="I355" s="316"/>
      <c r="J355" s="22"/>
      <c r="K355" s="73"/>
    </row>
    <row r="356" spans="1:11" s="8" customFormat="1" ht="15" customHeight="1">
      <c r="A356" s="104"/>
      <c r="B356" s="10"/>
      <c r="C356" s="308"/>
      <c r="D356" s="95"/>
      <c r="E356" s="95"/>
      <c r="F356" s="315"/>
      <c r="G356" s="316"/>
      <c r="H356" s="316"/>
      <c r="I356" s="316"/>
      <c r="J356" s="22"/>
      <c r="K356" s="73"/>
    </row>
    <row r="357" spans="1:11" s="7" customFormat="1" ht="30.75" customHeight="1">
      <c r="A357" s="165"/>
      <c r="B357" s="429" t="s">
        <v>343</v>
      </c>
      <c r="C357" s="430"/>
      <c r="D357" s="430"/>
      <c r="E357" s="430"/>
      <c r="F357" s="430"/>
      <c r="G357" s="430"/>
      <c r="H357" s="430"/>
      <c r="I357" s="430"/>
      <c r="J357" s="430"/>
      <c r="K357" s="431"/>
    </row>
    <row r="358" spans="1:11" s="8" customFormat="1" ht="15.75">
      <c r="A358" s="103" t="s">
        <v>560</v>
      </c>
      <c r="B358" s="43" t="s">
        <v>324</v>
      </c>
      <c r="C358" s="308">
        <f aca="true" t="shared" si="123" ref="C358:J358">SUM(C359:C361)</f>
        <v>228649.93200000003</v>
      </c>
      <c r="D358" s="115">
        <f t="shared" si="123"/>
        <v>30652.593</v>
      </c>
      <c r="E358" s="114">
        <f t="shared" si="123"/>
        <v>28375.639000000003</v>
      </c>
      <c r="F358" s="204">
        <f t="shared" si="123"/>
        <v>34452.5</v>
      </c>
      <c r="G358" s="308">
        <f t="shared" si="123"/>
        <v>33225.3</v>
      </c>
      <c r="H358" s="308">
        <f t="shared" si="123"/>
        <v>33759.700000000004</v>
      </c>
      <c r="I358" s="308">
        <f t="shared" si="123"/>
        <v>34594.2</v>
      </c>
      <c r="J358" s="16">
        <f t="shared" si="123"/>
        <v>33590</v>
      </c>
      <c r="K358" s="73"/>
    </row>
    <row r="359" spans="1:11" s="8" customFormat="1" ht="15" customHeight="1">
      <c r="A359" s="103" t="s">
        <v>561</v>
      </c>
      <c r="B359" s="10" t="s">
        <v>289</v>
      </c>
      <c r="C359" s="309">
        <f>SUM(D359:J359)</f>
        <v>227899.93200000003</v>
      </c>
      <c r="D359" s="117">
        <f>SUM(D365+D383)</f>
        <v>29902.593</v>
      </c>
      <c r="E359" s="95">
        <f aca="true" t="shared" si="124" ref="E359:J359">SUM(E365+E383)</f>
        <v>28375.639000000003</v>
      </c>
      <c r="F359" s="315">
        <f t="shared" si="124"/>
        <v>34452.5</v>
      </c>
      <c r="G359" s="316">
        <f t="shared" si="124"/>
        <v>33225.3</v>
      </c>
      <c r="H359" s="316">
        <f t="shared" si="124"/>
        <v>33759.700000000004</v>
      </c>
      <c r="I359" s="316">
        <f t="shared" si="124"/>
        <v>34594.2</v>
      </c>
      <c r="J359" s="22">
        <f t="shared" si="124"/>
        <v>33590</v>
      </c>
      <c r="K359" s="73"/>
    </row>
    <row r="360" spans="1:11" s="8" customFormat="1" ht="15" customHeight="1">
      <c r="A360" s="103" t="s">
        <v>562</v>
      </c>
      <c r="B360" s="10" t="s">
        <v>290</v>
      </c>
      <c r="C360" s="309">
        <f>SUM(D360:J360)</f>
        <v>0</v>
      </c>
      <c r="D360" s="117"/>
      <c r="E360" s="95"/>
      <c r="F360" s="315"/>
      <c r="G360" s="316"/>
      <c r="H360" s="316"/>
      <c r="I360" s="316"/>
      <c r="J360" s="22"/>
      <c r="K360" s="73"/>
    </row>
    <row r="361" spans="1:11" s="8" customFormat="1" ht="15" customHeight="1">
      <c r="A361" s="103" t="s">
        <v>563</v>
      </c>
      <c r="B361" s="10" t="s">
        <v>291</v>
      </c>
      <c r="C361" s="309">
        <f>SUM(D361:J361)</f>
        <v>750</v>
      </c>
      <c r="D361" s="117">
        <f>SUM(D367)</f>
        <v>750</v>
      </c>
      <c r="E361" s="95">
        <f aca="true" t="shared" si="125" ref="E361:J361">SUM(E367)</f>
        <v>0</v>
      </c>
      <c r="F361" s="315">
        <f t="shared" si="125"/>
        <v>0</v>
      </c>
      <c r="G361" s="316">
        <f t="shared" si="125"/>
        <v>0</v>
      </c>
      <c r="H361" s="316">
        <f t="shared" si="125"/>
        <v>0</v>
      </c>
      <c r="I361" s="316">
        <f t="shared" si="125"/>
        <v>0</v>
      </c>
      <c r="J361" s="22">
        <f t="shared" si="125"/>
        <v>0</v>
      </c>
      <c r="K361" s="73"/>
    </row>
    <row r="362" spans="1:11" s="8" customFormat="1" ht="15" customHeight="1">
      <c r="A362" s="103"/>
      <c r="B362" s="10"/>
      <c r="C362" s="309"/>
      <c r="D362" s="117"/>
      <c r="E362" s="95"/>
      <c r="F362" s="315"/>
      <c r="G362" s="316"/>
      <c r="H362" s="316"/>
      <c r="I362" s="316"/>
      <c r="J362" s="22"/>
      <c r="K362" s="73"/>
    </row>
    <row r="363" spans="1:11" s="8" customFormat="1" ht="15" customHeight="1">
      <c r="A363" s="166"/>
      <c r="B363" s="432" t="s">
        <v>293</v>
      </c>
      <c r="C363" s="433"/>
      <c r="D363" s="433"/>
      <c r="E363" s="433"/>
      <c r="F363" s="433"/>
      <c r="G363" s="433"/>
      <c r="H363" s="433"/>
      <c r="I363" s="433"/>
      <c r="J363" s="433"/>
      <c r="K363" s="434"/>
    </row>
    <row r="364" spans="1:11" s="8" customFormat="1" ht="36" customHeight="1">
      <c r="A364" s="103" t="s">
        <v>564</v>
      </c>
      <c r="B364" s="43" t="s">
        <v>316</v>
      </c>
      <c r="C364" s="309">
        <f aca="true" t="shared" si="126" ref="C364:J364">SUM(C365:C367)</f>
        <v>5605</v>
      </c>
      <c r="D364" s="97">
        <f>SUM(D365:D367)</f>
        <v>1500</v>
      </c>
      <c r="E364" s="120">
        <f>SUM(E365:E367)</f>
        <v>0</v>
      </c>
      <c r="F364" s="318">
        <f t="shared" si="126"/>
        <v>0</v>
      </c>
      <c r="G364" s="309">
        <f t="shared" si="126"/>
        <v>1505</v>
      </c>
      <c r="H364" s="309">
        <f t="shared" si="126"/>
        <v>0</v>
      </c>
      <c r="I364" s="309">
        <f t="shared" si="126"/>
        <v>1100</v>
      </c>
      <c r="J364" s="18">
        <f t="shared" si="126"/>
        <v>1500</v>
      </c>
      <c r="K364" s="73"/>
    </row>
    <row r="365" spans="1:11" s="8" customFormat="1" ht="15" customHeight="1">
      <c r="A365" s="103" t="s">
        <v>565</v>
      </c>
      <c r="B365" s="10" t="s">
        <v>289</v>
      </c>
      <c r="C365" s="309">
        <f>SUM(D365:J365)</f>
        <v>4855</v>
      </c>
      <c r="D365" s="117">
        <f aca="true" t="shared" si="127" ref="D365:J365">SUM(D371+D375+D378)</f>
        <v>750</v>
      </c>
      <c r="E365" s="95">
        <f t="shared" si="127"/>
        <v>0</v>
      </c>
      <c r="F365" s="315">
        <f t="shared" si="127"/>
        <v>0</v>
      </c>
      <c r="G365" s="316">
        <f t="shared" si="127"/>
        <v>1505</v>
      </c>
      <c r="H365" s="316">
        <f t="shared" si="127"/>
        <v>0</v>
      </c>
      <c r="I365" s="316">
        <f t="shared" si="127"/>
        <v>1100</v>
      </c>
      <c r="J365" s="22">
        <f t="shared" si="127"/>
        <v>1500</v>
      </c>
      <c r="K365" s="73"/>
    </row>
    <row r="366" spans="1:11" s="8" customFormat="1" ht="15" customHeight="1">
      <c r="A366" s="103" t="s">
        <v>566</v>
      </c>
      <c r="B366" s="10" t="s">
        <v>290</v>
      </c>
      <c r="C366" s="309">
        <f>SUM(D366:J366)</f>
        <v>0</v>
      </c>
      <c r="D366" s="117"/>
      <c r="E366" s="95"/>
      <c r="F366" s="315"/>
      <c r="G366" s="316"/>
      <c r="H366" s="316"/>
      <c r="I366" s="316"/>
      <c r="J366" s="22"/>
      <c r="K366" s="73"/>
    </row>
    <row r="367" spans="1:11" s="8" customFormat="1" ht="15" customHeight="1">
      <c r="A367" s="103" t="s">
        <v>567</v>
      </c>
      <c r="B367" s="10" t="s">
        <v>291</v>
      </c>
      <c r="C367" s="309">
        <f>SUM(D367:J367)</f>
        <v>750</v>
      </c>
      <c r="D367" s="117">
        <f>SUM(D379)</f>
        <v>750</v>
      </c>
      <c r="E367" s="95">
        <f aca="true" t="shared" si="128" ref="E367:J367">SUM(E379)</f>
        <v>0</v>
      </c>
      <c r="F367" s="315">
        <f t="shared" si="128"/>
        <v>0</v>
      </c>
      <c r="G367" s="316">
        <f t="shared" si="128"/>
        <v>0</v>
      </c>
      <c r="H367" s="316">
        <f t="shared" si="128"/>
        <v>0</v>
      </c>
      <c r="I367" s="316">
        <f t="shared" si="128"/>
        <v>0</v>
      </c>
      <c r="J367" s="22">
        <f t="shared" si="128"/>
        <v>0</v>
      </c>
      <c r="K367" s="73"/>
    </row>
    <row r="368" spans="1:11" s="8" customFormat="1" ht="15" customHeight="1">
      <c r="A368" s="104"/>
      <c r="B368" s="5"/>
      <c r="C368" s="309"/>
      <c r="D368" s="117"/>
      <c r="E368" s="95"/>
      <c r="F368" s="315"/>
      <c r="G368" s="316"/>
      <c r="H368" s="316"/>
      <c r="I368" s="316"/>
      <c r="J368" s="22"/>
      <c r="K368" s="73"/>
    </row>
    <row r="369" spans="1:11" s="8" customFormat="1" ht="15" customHeight="1">
      <c r="A369" s="167"/>
      <c r="B369" s="420" t="s">
        <v>294</v>
      </c>
      <c r="C369" s="421"/>
      <c r="D369" s="421"/>
      <c r="E369" s="421"/>
      <c r="F369" s="421"/>
      <c r="G369" s="421"/>
      <c r="H369" s="421"/>
      <c r="I369" s="421"/>
      <c r="J369" s="421"/>
      <c r="K369" s="422"/>
    </row>
    <row r="370" spans="1:11" s="8" customFormat="1" ht="48.75" customHeight="1">
      <c r="A370" s="103" t="s">
        <v>568</v>
      </c>
      <c r="B370" s="43" t="s">
        <v>575</v>
      </c>
      <c r="C370" s="309">
        <v>0</v>
      </c>
      <c r="D370" s="115">
        <f>SUM(D371:D372)</f>
        <v>0</v>
      </c>
      <c r="E370" s="114">
        <f aca="true" t="shared" si="129" ref="E370:J370">SUM(E371:E372)</f>
        <v>0</v>
      </c>
      <c r="F370" s="204">
        <f t="shared" si="129"/>
        <v>0</v>
      </c>
      <c r="G370" s="308">
        <f t="shared" si="129"/>
        <v>0</v>
      </c>
      <c r="H370" s="308">
        <f t="shared" si="129"/>
        <v>0</v>
      </c>
      <c r="I370" s="308">
        <f t="shared" si="129"/>
        <v>0</v>
      </c>
      <c r="J370" s="16">
        <f t="shared" si="129"/>
        <v>0</v>
      </c>
      <c r="K370" s="73"/>
    </row>
    <row r="371" spans="1:11" s="8" customFormat="1" ht="15" customHeight="1">
      <c r="A371" s="103" t="s">
        <v>569</v>
      </c>
      <c r="B371" s="10" t="s">
        <v>289</v>
      </c>
      <c r="C371" s="309">
        <f>SUM(D371:J371)</f>
        <v>0</v>
      </c>
      <c r="D371" s="117"/>
      <c r="E371" s="95"/>
      <c r="F371" s="315"/>
      <c r="G371" s="316"/>
      <c r="H371" s="316"/>
      <c r="I371" s="316"/>
      <c r="J371" s="22"/>
      <c r="K371" s="73"/>
    </row>
    <row r="372" spans="1:11" s="8" customFormat="1" ht="15" customHeight="1">
      <c r="A372" s="103"/>
      <c r="B372" s="10"/>
      <c r="C372" s="97"/>
      <c r="D372" s="117"/>
      <c r="E372" s="95"/>
      <c r="F372" s="315"/>
      <c r="G372" s="316"/>
      <c r="H372" s="316"/>
      <c r="I372" s="316"/>
      <c r="J372" s="22"/>
      <c r="K372" s="73"/>
    </row>
    <row r="373" spans="1:11" s="8" customFormat="1" ht="15" customHeight="1">
      <c r="A373" s="167"/>
      <c r="B373" s="420" t="s">
        <v>305</v>
      </c>
      <c r="C373" s="421"/>
      <c r="D373" s="421"/>
      <c r="E373" s="421"/>
      <c r="F373" s="421"/>
      <c r="G373" s="421"/>
      <c r="H373" s="421"/>
      <c r="I373" s="421"/>
      <c r="J373" s="421"/>
      <c r="K373" s="422"/>
    </row>
    <row r="374" spans="1:11" s="8" customFormat="1" ht="51.75" customHeight="1">
      <c r="A374" s="103" t="s">
        <v>570</v>
      </c>
      <c r="B374" s="43" t="s">
        <v>327</v>
      </c>
      <c r="C374" s="309">
        <f>SUM(D374:J374)</f>
        <v>1100</v>
      </c>
      <c r="D374" s="115">
        <f>SUM(D375)</f>
        <v>0</v>
      </c>
      <c r="E374" s="115">
        <f aca="true" t="shared" si="130" ref="E374:J374">SUM(E375)</f>
        <v>0</v>
      </c>
      <c r="F374" s="204">
        <f t="shared" si="130"/>
        <v>0</v>
      </c>
      <c r="G374" s="308">
        <f t="shared" si="130"/>
        <v>0</v>
      </c>
      <c r="H374" s="308">
        <f t="shared" si="130"/>
        <v>0</v>
      </c>
      <c r="I374" s="308">
        <f t="shared" si="130"/>
        <v>1100</v>
      </c>
      <c r="J374" s="16">
        <f t="shared" si="130"/>
        <v>0</v>
      </c>
      <c r="K374" s="77" t="s">
        <v>57</v>
      </c>
    </row>
    <row r="375" spans="1:11" s="8" customFormat="1" ht="15" customHeight="1">
      <c r="A375" s="103" t="s">
        <v>603</v>
      </c>
      <c r="B375" s="10" t="s">
        <v>289</v>
      </c>
      <c r="C375" s="309">
        <f>SUM(D375:J375)</f>
        <v>1100</v>
      </c>
      <c r="D375" s="117"/>
      <c r="E375" s="117"/>
      <c r="F375" s="315"/>
      <c r="G375" s="316"/>
      <c r="H375" s="316"/>
      <c r="I375" s="316">
        <f>1100</f>
        <v>1100</v>
      </c>
      <c r="J375" s="22"/>
      <c r="K375" s="77"/>
    </row>
    <row r="376" spans="1:11" s="8" customFormat="1" ht="15" customHeight="1">
      <c r="A376" s="103"/>
      <c r="B376" s="10"/>
      <c r="C376" s="309"/>
      <c r="D376" s="117"/>
      <c r="E376" s="117"/>
      <c r="F376" s="315"/>
      <c r="G376" s="316"/>
      <c r="H376" s="316"/>
      <c r="I376" s="316"/>
      <c r="J376" s="22"/>
      <c r="K376" s="77"/>
    </row>
    <row r="377" spans="1:11" s="8" customFormat="1" ht="79.5" customHeight="1">
      <c r="A377" s="103" t="s">
        <v>604</v>
      </c>
      <c r="B377" s="46" t="s">
        <v>337</v>
      </c>
      <c r="C377" s="308">
        <f>SUM(C378:C379)</f>
        <v>4505</v>
      </c>
      <c r="D377" s="115">
        <f>SUM(D378:D379)</f>
        <v>1500</v>
      </c>
      <c r="E377" s="115">
        <f aca="true" t="shared" si="131" ref="E377:J377">SUM(E378:E379)</f>
        <v>0</v>
      </c>
      <c r="F377" s="204">
        <f t="shared" si="131"/>
        <v>0</v>
      </c>
      <c r="G377" s="308">
        <f t="shared" si="131"/>
        <v>1505</v>
      </c>
      <c r="H377" s="308">
        <f t="shared" si="131"/>
        <v>0</v>
      </c>
      <c r="I377" s="308">
        <f t="shared" si="131"/>
        <v>0</v>
      </c>
      <c r="J377" s="16">
        <f t="shared" si="131"/>
        <v>1500</v>
      </c>
      <c r="K377" s="77" t="s">
        <v>57</v>
      </c>
    </row>
    <row r="378" spans="1:11" s="8" customFormat="1" ht="15.75">
      <c r="A378" s="103" t="s">
        <v>605</v>
      </c>
      <c r="B378" s="10" t="s">
        <v>289</v>
      </c>
      <c r="C378" s="309">
        <f>SUM(D378:J378)</f>
        <v>3755</v>
      </c>
      <c r="D378" s="117">
        <f>700+50</f>
        <v>750</v>
      </c>
      <c r="E378" s="117"/>
      <c r="F378" s="315"/>
      <c r="G378" s="316">
        <f>1505</f>
        <v>1505</v>
      </c>
      <c r="H378" s="316"/>
      <c r="I378" s="316"/>
      <c r="J378" s="22">
        <v>1500</v>
      </c>
      <c r="K378" s="73"/>
    </row>
    <row r="379" spans="1:11" s="8" customFormat="1" ht="15" customHeight="1">
      <c r="A379" s="103" t="s">
        <v>606</v>
      </c>
      <c r="B379" s="10" t="s">
        <v>291</v>
      </c>
      <c r="C379" s="309">
        <f>SUM(D379:J379)</f>
        <v>750</v>
      </c>
      <c r="D379" s="117">
        <f>750</f>
        <v>750</v>
      </c>
      <c r="E379" s="117"/>
      <c r="F379" s="315"/>
      <c r="G379" s="316"/>
      <c r="H379" s="316"/>
      <c r="I379" s="316"/>
      <c r="J379" s="22"/>
      <c r="K379" s="73"/>
    </row>
    <row r="380" spans="1:11" s="8" customFormat="1" ht="15" customHeight="1">
      <c r="A380" s="103"/>
      <c r="B380" s="12"/>
      <c r="C380" s="309"/>
      <c r="D380" s="116"/>
      <c r="E380" s="116"/>
      <c r="F380" s="299"/>
      <c r="G380" s="304"/>
      <c r="H380" s="304"/>
      <c r="I380" s="304"/>
      <c r="J380" s="15"/>
      <c r="K380" s="73"/>
    </row>
    <row r="381" spans="1:11" s="8" customFormat="1" ht="15" customHeight="1">
      <c r="A381" s="166"/>
      <c r="B381" s="432" t="s">
        <v>297</v>
      </c>
      <c r="C381" s="433"/>
      <c r="D381" s="433"/>
      <c r="E381" s="433"/>
      <c r="F381" s="433"/>
      <c r="G381" s="433"/>
      <c r="H381" s="433"/>
      <c r="I381" s="433"/>
      <c r="J381" s="433"/>
      <c r="K381" s="434"/>
    </row>
    <row r="382" spans="1:11" s="8" customFormat="1" ht="31.5">
      <c r="A382" s="103" t="s">
        <v>607</v>
      </c>
      <c r="B382" s="43" t="s">
        <v>298</v>
      </c>
      <c r="C382" s="309">
        <f>SUM(C383)</f>
        <v>223044.93200000003</v>
      </c>
      <c r="D382" s="115">
        <f>SUM(D383:D383)</f>
        <v>29152.593</v>
      </c>
      <c r="E382" s="114">
        <f aca="true" t="shared" si="132" ref="E382:J382">SUM(E383:E383)</f>
        <v>28375.639000000003</v>
      </c>
      <c r="F382" s="204">
        <f t="shared" si="132"/>
        <v>34452.5</v>
      </c>
      <c r="G382" s="308">
        <f t="shared" si="132"/>
        <v>31720.3</v>
      </c>
      <c r="H382" s="308">
        <f t="shared" si="132"/>
        <v>33759.700000000004</v>
      </c>
      <c r="I382" s="308">
        <f t="shared" si="132"/>
        <v>33494.2</v>
      </c>
      <c r="J382" s="16">
        <f t="shared" si="132"/>
        <v>32090</v>
      </c>
      <c r="K382" s="73"/>
    </row>
    <row r="383" spans="1:11" s="8" customFormat="1" ht="15" customHeight="1">
      <c r="A383" s="103" t="s">
        <v>608</v>
      </c>
      <c r="B383" s="10" t="s">
        <v>289</v>
      </c>
      <c r="C383" s="308">
        <f>SUM(D383:J383)</f>
        <v>223044.93200000003</v>
      </c>
      <c r="D383" s="116">
        <f>SUM(D386+D389+D404+D407+D410)</f>
        <v>29152.593</v>
      </c>
      <c r="E383" s="111">
        <f aca="true" t="shared" si="133" ref="E383:J383">SUM(E386+E389+E404+E407+E410)</f>
        <v>28375.639000000003</v>
      </c>
      <c r="F383" s="299">
        <f t="shared" si="133"/>
        <v>34452.5</v>
      </c>
      <c r="G383" s="304">
        <f t="shared" si="133"/>
        <v>31720.3</v>
      </c>
      <c r="H383" s="304">
        <f t="shared" si="133"/>
        <v>33759.700000000004</v>
      </c>
      <c r="I383" s="304">
        <f t="shared" si="133"/>
        <v>33494.2</v>
      </c>
      <c r="J383" s="15">
        <f t="shared" si="133"/>
        <v>32090</v>
      </c>
      <c r="K383" s="73"/>
    </row>
    <row r="384" spans="1:11" s="8" customFormat="1" ht="15" customHeight="1">
      <c r="A384" s="103"/>
      <c r="B384" s="12"/>
      <c r="C384" s="309"/>
      <c r="D384" s="116"/>
      <c r="E384" s="111"/>
      <c r="F384" s="299"/>
      <c r="G384" s="304"/>
      <c r="H384" s="304"/>
      <c r="I384" s="304"/>
      <c r="J384" s="15"/>
      <c r="K384" s="73"/>
    </row>
    <row r="385" spans="1:11" s="8" customFormat="1" ht="47.25">
      <c r="A385" s="103" t="s">
        <v>609</v>
      </c>
      <c r="B385" s="43" t="s">
        <v>325</v>
      </c>
      <c r="C385" s="309">
        <f>SUM(C386)</f>
        <v>25124.6</v>
      </c>
      <c r="D385" s="115">
        <f>SUM(D386)</f>
        <v>3600</v>
      </c>
      <c r="E385" s="114">
        <f aca="true" t="shared" si="134" ref="E385:J385">SUM(E386)</f>
        <v>3613</v>
      </c>
      <c r="F385" s="204">
        <f t="shared" si="134"/>
        <v>3681</v>
      </c>
      <c r="G385" s="308">
        <f t="shared" si="134"/>
        <v>3390.3</v>
      </c>
      <c r="H385" s="308">
        <f t="shared" si="134"/>
        <v>3390.3</v>
      </c>
      <c r="I385" s="308">
        <f t="shared" si="134"/>
        <v>3450</v>
      </c>
      <c r="J385" s="16">
        <f t="shared" si="134"/>
        <v>4000</v>
      </c>
      <c r="K385" s="77" t="s">
        <v>58</v>
      </c>
    </row>
    <row r="386" spans="1:11" s="8" customFormat="1" ht="15" customHeight="1">
      <c r="A386" s="103" t="s">
        <v>610</v>
      </c>
      <c r="B386" s="10" t="s">
        <v>289</v>
      </c>
      <c r="C386" s="309">
        <f>SUM(D386:J386)</f>
        <v>25124.6</v>
      </c>
      <c r="D386" s="116">
        <v>3600</v>
      </c>
      <c r="E386" s="111">
        <v>3613</v>
      </c>
      <c r="F386" s="299">
        <v>3681</v>
      </c>
      <c r="G386" s="304">
        <v>3390.3</v>
      </c>
      <c r="H386" s="304">
        <v>3390.3</v>
      </c>
      <c r="I386" s="304">
        <f>3450</f>
        <v>3450</v>
      </c>
      <c r="J386" s="15">
        <v>4000</v>
      </c>
      <c r="K386" s="77"/>
    </row>
    <row r="387" spans="1:11" s="8" customFormat="1" ht="15" customHeight="1">
      <c r="A387" s="103"/>
      <c r="B387" s="10"/>
      <c r="C387" s="309"/>
      <c r="D387" s="116"/>
      <c r="E387" s="111"/>
      <c r="F387" s="299"/>
      <c r="G387" s="304"/>
      <c r="H387" s="304"/>
      <c r="I387" s="304"/>
      <c r="J387" s="15"/>
      <c r="K387" s="77"/>
    </row>
    <row r="388" spans="1:11" s="8" customFormat="1" ht="99" customHeight="1">
      <c r="A388" s="103" t="s">
        <v>611</v>
      </c>
      <c r="B388" s="43" t="s">
        <v>593</v>
      </c>
      <c r="C388" s="309">
        <f aca="true" t="shared" si="135" ref="C388:J388">SUM(C389)</f>
        <v>195066.469</v>
      </c>
      <c r="D388" s="115">
        <f>SUM(D389)</f>
        <v>25048.73</v>
      </c>
      <c r="E388" s="115">
        <f t="shared" si="135"/>
        <v>24392.639000000003</v>
      </c>
      <c r="F388" s="204">
        <f t="shared" si="135"/>
        <v>30441.5</v>
      </c>
      <c r="G388" s="308">
        <f t="shared" si="135"/>
        <v>28000</v>
      </c>
      <c r="H388" s="308">
        <f t="shared" si="135"/>
        <v>29929.4</v>
      </c>
      <c r="I388" s="308">
        <f t="shared" si="135"/>
        <v>29604.2</v>
      </c>
      <c r="J388" s="16">
        <f t="shared" si="135"/>
        <v>27650</v>
      </c>
      <c r="K388" s="77" t="s">
        <v>57</v>
      </c>
    </row>
    <row r="389" spans="1:11" s="8" customFormat="1" ht="15" customHeight="1">
      <c r="A389" s="103" t="s">
        <v>612</v>
      </c>
      <c r="B389" s="10" t="s">
        <v>289</v>
      </c>
      <c r="C389" s="309">
        <f>SUM(D389:J389)</f>
        <v>195066.469</v>
      </c>
      <c r="D389" s="115">
        <f>SUM(D392+D395+D398+D401)</f>
        <v>25048.73</v>
      </c>
      <c r="E389" s="115">
        <f aca="true" t="shared" si="136" ref="E389:J389">SUM(E392+E395+E398+E401)</f>
        <v>24392.639000000003</v>
      </c>
      <c r="F389" s="204">
        <f t="shared" si="136"/>
        <v>30441.5</v>
      </c>
      <c r="G389" s="308">
        <f t="shared" si="136"/>
        <v>28000</v>
      </c>
      <c r="H389" s="308">
        <f t="shared" si="136"/>
        <v>29929.4</v>
      </c>
      <c r="I389" s="308">
        <f t="shared" si="136"/>
        <v>29604.2</v>
      </c>
      <c r="J389" s="16">
        <f t="shared" si="136"/>
        <v>27650</v>
      </c>
      <c r="K389" s="73"/>
    </row>
    <row r="390" spans="1:11" s="8" customFormat="1" ht="15" customHeight="1">
      <c r="A390" s="103"/>
      <c r="B390" s="10"/>
      <c r="C390" s="309"/>
      <c r="D390" s="116"/>
      <c r="E390" s="116"/>
      <c r="F390" s="299"/>
      <c r="G390" s="304"/>
      <c r="H390" s="304"/>
      <c r="I390" s="304"/>
      <c r="J390" s="15"/>
      <c r="K390" s="73"/>
    </row>
    <row r="391" spans="1:11" s="8" customFormat="1" ht="51" customHeight="1">
      <c r="A391" s="103" t="s">
        <v>613</v>
      </c>
      <c r="B391" s="10" t="s">
        <v>594</v>
      </c>
      <c r="C391" s="341">
        <f aca="true" t="shared" si="137" ref="C391:J391">SUM(C392)</f>
        <v>17837.93</v>
      </c>
      <c r="D391" s="159">
        <f t="shared" si="137"/>
        <v>1933.73</v>
      </c>
      <c r="E391" s="124">
        <f t="shared" si="137"/>
        <v>2373</v>
      </c>
      <c r="F391" s="205">
        <f t="shared" si="137"/>
        <v>2605</v>
      </c>
      <c r="G391" s="327">
        <f t="shared" si="137"/>
        <v>2548.6</v>
      </c>
      <c r="H391" s="327">
        <f t="shared" si="137"/>
        <v>3016.1</v>
      </c>
      <c r="I391" s="327">
        <f t="shared" si="137"/>
        <v>3121.5</v>
      </c>
      <c r="J391" s="123">
        <f t="shared" si="137"/>
        <v>2240</v>
      </c>
      <c r="K391" s="73"/>
    </row>
    <row r="392" spans="1:11" s="8" customFormat="1" ht="15" customHeight="1">
      <c r="A392" s="103" t="s">
        <v>614</v>
      </c>
      <c r="B392" s="10" t="s">
        <v>289</v>
      </c>
      <c r="C392" s="341">
        <f>SUM(D392:J392)</f>
        <v>17837.93</v>
      </c>
      <c r="D392" s="159">
        <v>1933.73</v>
      </c>
      <c r="E392" s="124">
        <f>2043+250+80</f>
        <v>2373</v>
      </c>
      <c r="F392" s="205">
        <v>2605</v>
      </c>
      <c r="G392" s="327">
        <f>2548.6</f>
        <v>2548.6</v>
      </c>
      <c r="H392" s="327">
        <f>3016.1</f>
        <v>3016.1</v>
      </c>
      <c r="I392" s="327">
        <v>3121.5</v>
      </c>
      <c r="J392" s="123">
        <v>2240</v>
      </c>
      <c r="K392" s="73"/>
    </row>
    <row r="393" spans="1:11" s="8" customFormat="1" ht="15" customHeight="1">
      <c r="A393" s="103"/>
      <c r="B393" s="10"/>
      <c r="C393" s="341"/>
      <c r="D393" s="159"/>
      <c r="E393" s="124"/>
      <c r="F393" s="205"/>
      <c r="G393" s="327"/>
      <c r="H393" s="327"/>
      <c r="I393" s="327"/>
      <c r="J393" s="123"/>
      <c r="K393" s="73"/>
    </row>
    <row r="394" spans="1:11" s="8" customFormat="1" ht="50.25" customHeight="1">
      <c r="A394" s="103" t="s">
        <v>615</v>
      </c>
      <c r="B394" s="10" t="s">
        <v>595</v>
      </c>
      <c r="C394" s="341">
        <f aca="true" t="shared" si="138" ref="C394:J394">SUM(C395)</f>
        <v>220</v>
      </c>
      <c r="D394" s="124">
        <f t="shared" si="138"/>
        <v>0</v>
      </c>
      <c r="E394" s="124">
        <f t="shared" si="138"/>
        <v>220</v>
      </c>
      <c r="F394" s="205">
        <f t="shared" si="138"/>
        <v>0</v>
      </c>
      <c r="G394" s="327">
        <f t="shared" si="138"/>
        <v>0</v>
      </c>
      <c r="H394" s="327">
        <f t="shared" si="138"/>
        <v>0</v>
      </c>
      <c r="I394" s="327">
        <f t="shared" si="138"/>
        <v>0</v>
      </c>
      <c r="J394" s="123">
        <f t="shared" si="138"/>
        <v>0</v>
      </c>
      <c r="K394" s="73"/>
    </row>
    <row r="395" spans="1:11" s="8" customFormat="1" ht="15" customHeight="1">
      <c r="A395" s="103" t="s">
        <v>616</v>
      </c>
      <c r="B395" s="10" t="s">
        <v>289</v>
      </c>
      <c r="C395" s="341">
        <f>SUM(D395:J395)</f>
        <v>220</v>
      </c>
      <c r="D395" s="124">
        <f>140-140</f>
        <v>0</v>
      </c>
      <c r="E395" s="124">
        <f>279-59</f>
        <v>220</v>
      </c>
      <c r="F395" s="205">
        <v>0</v>
      </c>
      <c r="G395" s="327">
        <v>0</v>
      </c>
      <c r="H395" s="327">
        <v>0</v>
      </c>
      <c r="I395" s="327">
        <v>0</v>
      </c>
      <c r="J395" s="123">
        <v>0</v>
      </c>
      <c r="K395" s="73"/>
    </row>
    <row r="396" spans="1:11" s="8" customFormat="1" ht="15" customHeight="1">
      <c r="A396" s="103"/>
      <c r="B396" s="10"/>
      <c r="C396" s="341"/>
      <c r="D396" s="159"/>
      <c r="E396" s="124"/>
      <c r="F396" s="205"/>
      <c r="G396" s="327"/>
      <c r="H396" s="327"/>
      <c r="I396" s="327"/>
      <c r="J396" s="123"/>
      <c r="K396" s="73"/>
    </row>
    <row r="397" spans="1:11" s="8" customFormat="1" ht="53.25" customHeight="1">
      <c r="A397" s="103" t="s">
        <v>617</v>
      </c>
      <c r="B397" s="10" t="s">
        <v>596</v>
      </c>
      <c r="C397" s="341">
        <f aca="true" t="shared" si="139" ref="C397:J397">SUM(C398)</f>
        <v>95233.82599999999</v>
      </c>
      <c r="D397" s="159">
        <f t="shared" si="139"/>
        <v>12833</v>
      </c>
      <c r="E397" s="124">
        <f t="shared" si="139"/>
        <v>11918.626</v>
      </c>
      <c r="F397" s="205">
        <f t="shared" si="139"/>
        <v>13908.9</v>
      </c>
      <c r="G397" s="327">
        <f t="shared" si="139"/>
        <v>13431.2</v>
      </c>
      <c r="H397" s="327">
        <f t="shared" si="139"/>
        <v>13918.7</v>
      </c>
      <c r="I397" s="327">
        <f t="shared" si="139"/>
        <v>14313.4</v>
      </c>
      <c r="J397" s="123">
        <f t="shared" si="139"/>
        <v>14910</v>
      </c>
      <c r="K397" s="73"/>
    </row>
    <row r="398" spans="1:11" s="8" customFormat="1" ht="15" customHeight="1">
      <c r="A398" s="103" t="s">
        <v>618</v>
      </c>
      <c r="B398" s="10" t="s">
        <v>289</v>
      </c>
      <c r="C398" s="341">
        <f>SUM(D398:J398)</f>
        <v>95233.82599999999</v>
      </c>
      <c r="D398" s="124">
        <f>12743+90</f>
        <v>12833</v>
      </c>
      <c r="E398" s="124">
        <f>12201-277.9+245.5+0.026-250</f>
        <v>11918.626</v>
      </c>
      <c r="F398" s="205">
        <f>13569.4+169.5+170</f>
        <v>13908.9</v>
      </c>
      <c r="G398" s="205">
        <f>13431.2</f>
        <v>13431.2</v>
      </c>
      <c r="H398" s="205">
        <f>13918.7</f>
        <v>13918.7</v>
      </c>
      <c r="I398" s="205">
        <f>14313.4</f>
        <v>14313.4</v>
      </c>
      <c r="J398" s="91">
        <v>14910</v>
      </c>
      <c r="K398" s="77"/>
    </row>
    <row r="399" spans="1:11" s="8" customFormat="1" ht="15" customHeight="1">
      <c r="A399" s="103"/>
      <c r="B399" s="10"/>
      <c r="C399" s="341"/>
      <c r="D399" s="159"/>
      <c r="E399" s="124"/>
      <c r="F399" s="205"/>
      <c r="G399" s="205"/>
      <c r="H399" s="205"/>
      <c r="I399" s="205"/>
      <c r="J399" s="91"/>
      <c r="K399" s="77"/>
    </row>
    <row r="400" spans="1:11" s="8" customFormat="1" ht="48" customHeight="1">
      <c r="A400" s="103" t="s">
        <v>619</v>
      </c>
      <c r="B400" s="10" t="s">
        <v>597</v>
      </c>
      <c r="C400" s="341">
        <f aca="true" t="shared" si="140" ref="C400:J400">SUM(C401)</f>
        <v>81774.71299999999</v>
      </c>
      <c r="D400" s="159">
        <f t="shared" si="140"/>
        <v>10282</v>
      </c>
      <c r="E400" s="124">
        <f t="shared" si="140"/>
        <v>9881.013</v>
      </c>
      <c r="F400" s="205">
        <f t="shared" si="140"/>
        <v>13927.6</v>
      </c>
      <c r="G400" s="205">
        <f t="shared" si="140"/>
        <v>12020.2</v>
      </c>
      <c r="H400" s="205">
        <f t="shared" si="140"/>
        <v>12994.6</v>
      </c>
      <c r="I400" s="205">
        <f t="shared" si="140"/>
        <v>12169.3</v>
      </c>
      <c r="J400" s="91">
        <f t="shared" si="140"/>
        <v>10500</v>
      </c>
      <c r="K400" s="77"/>
    </row>
    <row r="401" spans="1:11" s="8" customFormat="1" ht="15" customHeight="1">
      <c r="A401" s="103" t="s">
        <v>620</v>
      </c>
      <c r="B401" s="10" t="s">
        <v>289</v>
      </c>
      <c r="C401" s="341">
        <f>SUM(D401:J401)</f>
        <v>81774.71299999999</v>
      </c>
      <c r="D401" s="159">
        <v>10282</v>
      </c>
      <c r="E401" s="124">
        <f>9977-15.987-80</f>
        <v>9881.013</v>
      </c>
      <c r="F401" s="205">
        <f>13927.6+1000-1000</f>
        <v>13927.6</v>
      </c>
      <c r="G401" s="205">
        <v>12020.2</v>
      </c>
      <c r="H401" s="205">
        <v>12994.6</v>
      </c>
      <c r="I401" s="205">
        <v>12169.3</v>
      </c>
      <c r="J401" s="91">
        <v>10500</v>
      </c>
      <c r="K401" s="77"/>
    </row>
    <row r="402" spans="1:11" s="8" customFormat="1" ht="15" customHeight="1">
      <c r="A402" s="103"/>
      <c r="B402" s="10"/>
      <c r="C402" s="309"/>
      <c r="D402" s="116"/>
      <c r="E402" s="111"/>
      <c r="F402" s="299"/>
      <c r="G402" s="299"/>
      <c r="H402" s="299"/>
      <c r="I402" s="299"/>
      <c r="J402" s="52"/>
      <c r="K402" s="77"/>
    </row>
    <row r="403" spans="1:11" s="8" customFormat="1" ht="36.75" customHeight="1">
      <c r="A403" s="103" t="s">
        <v>621</v>
      </c>
      <c r="B403" s="43" t="s">
        <v>598</v>
      </c>
      <c r="C403" s="309">
        <f aca="true" t="shared" si="141" ref="C403:J403">SUM(C404)</f>
        <v>2230</v>
      </c>
      <c r="D403" s="114">
        <f t="shared" si="141"/>
        <v>290</v>
      </c>
      <c r="E403" s="114">
        <f t="shared" si="141"/>
        <v>290</v>
      </c>
      <c r="F403" s="204">
        <f t="shared" si="141"/>
        <v>330</v>
      </c>
      <c r="G403" s="204">
        <f t="shared" si="141"/>
        <v>330</v>
      </c>
      <c r="H403" s="204">
        <f t="shared" si="141"/>
        <v>330</v>
      </c>
      <c r="I403" s="204">
        <f t="shared" si="141"/>
        <v>330</v>
      </c>
      <c r="J403" s="35">
        <f t="shared" si="141"/>
        <v>330</v>
      </c>
      <c r="K403" s="77" t="s">
        <v>52</v>
      </c>
    </row>
    <row r="404" spans="1:11" s="8" customFormat="1" ht="15" customHeight="1">
      <c r="A404" s="103" t="s">
        <v>622</v>
      </c>
      <c r="B404" s="10" t="s">
        <v>289</v>
      </c>
      <c r="C404" s="309">
        <f>SUM(D404:J404)</f>
        <v>2230</v>
      </c>
      <c r="D404" s="111">
        <f>120+200-30</f>
        <v>290</v>
      </c>
      <c r="E404" s="111">
        <f>230+60</f>
        <v>290</v>
      </c>
      <c r="F404" s="299">
        <f>30+300</f>
        <v>330</v>
      </c>
      <c r="G404" s="299">
        <f>30+300</f>
        <v>330</v>
      </c>
      <c r="H404" s="299">
        <f>30+300</f>
        <v>330</v>
      </c>
      <c r="I404" s="299">
        <f>30+300</f>
        <v>330</v>
      </c>
      <c r="J404" s="52">
        <f>130+200</f>
        <v>330</v>
      </c>
      <c r="K404" s="77"/>
    </row>
    <row r="405" spans="1:11" s="8" customFormat="1" ht="15" customHeight="1">
      <c r="A405" s="103"/>
      <c r="B405" s="10"/>
      <c r="C405" s="309"/>
      <c r="D405" s="111"/>
      <c r="E405" s="111"/>
      <c r="F405" s="299"/>
      <c r="G405" s="299"/>
      <c r="H405" s="299"/>
      <c r="I405" s="299"/>
      <c r="J405" s="52"/>
      <c r="K405" s="77"/>
    </row>
    <row r="406" spans="1:11" s="8" customFormat="1" ht="96.75" customHeight="1">
      <c r="A406" s="103" t="s">
        <v>623</v>
      </c>
      <c r="B406" s="43" t="s">
        <v>601</v>
      </c>
      <c r="C406" s="309">
        <f aca="true" t="shared" si="142" ref="C406:J406">SUM(C407)</f>
        <v>313.863</v>
      </c>
      <c r="D406" s="114">
        <f t="shared" si="142"/>
        <v>133.863</v>
      </c>
      <c r="E406" s="114">
        <f t="shared" si="142"/>
        <v>0</v>
      </c>
      <c r="F406" s="204">
        <f t="shared" si="142"/>
        <v>0</v>
      </c>
      <c r="G406" s="204">
        <f t="shared" si="142"/>
        <v>0</v>
      </c>
      <c r="H406" s="204">
        <f t="shared" si="142"/>
        <v>60</v>
      </c>
      <c r="I406" s="204">
        <f t="shared" si="142"/>
        <v>60</v>
      </c>
      <c r="J406" s="35">
        <f t="shared" si="142"/>
        <v>60</v>
      </c>
      <c r="K406" s="77" t="s">
        <v>59</v>
      </c>
    </row>
    <row r="407" spans="1:11" s="8" customFormat="1" ht="15" customHeight="1">
      <c r="A407" s="103" t="s">
        <v>624</v>
      </c>
      <c r="B407" s="10" t="s">
        <v>289</v>
      </c>
      <c r="C407" s="309">
        <f>SUM(D407:J407)</f>
        <v>313.863</v>
      </c>
      <c r="D407" s="111">
        <v>133.863</v>
      </c>
      <c r="E407" s="111">
        <v>0</v>
      </c>
      <c r="F407" s="299">
        <v>0</v>
      </c>
      <c r="G407" s="304">
        <v>0</v>
      </c>
      <c r="H407" s="304">
        <v>60</v>
      </c>
      <c r="I407" s="304">
        <v>60</v>
      </c>
      <c r="J407" s="15">
        <v>60</v>
      </c>
      <c r="K407" s="73"/>
    </row>
    <row r="408" spans="1:11" s="8" customFormat="1" ht="15" customHeight="1">
      <c r="A408" s="103"/>
      <c r="B408" s="10"/>
      <c r="C408" s="309"/>
      <c r="D408" s="111"/>
      <c r="E408" s="111"/>
      <c r="F408" s="299"/>
      <c r="G408" s="304"/>
      <c r="H408" s="304"/>
      <c r="I408" s="304"/>
      <c r="J408" s="15"/>
      <c r="K408" s="73"/>
    </row>
    <row r="409" spans="1:11" s="8" customFormat="1" ht="52.5" customHeight="1">
      <c r="A409" s="103" t="s">
        <v>663</v>
      </c>
      <c r="B409" s="43" t="s">
        <v>602</v>
      </c>
      <c r="C409" s="309">
        <f>SUM(D409:J409)</f>
        <v>310</v>
      </c>
      <c r="D409" s="114">
        <f>SUM(D410)</f>
        <v>80</v>
      </c>
      <c r="E409" s="114">
        <f aca="true" t="shared" si="143" ref="E409:J409">SUM(E410)</f>
        <v>80</v>
      </c>
      <c r="F409" s="204">
        <f t="shared" si="143"/>
        <v>0</v>
      </c>
      <c r="G409" s="204">
        <f t="shared" si="143"/>
        <v>0</v>
      </c>
      <c r="H409" s="204">
        <f t="shared" si="143"/>
        <v>50</v>
      </c>
      <c r="I409" s="204">
        <f t="shared" si="143"/>
        <v>50</v>
      </c>
      <c r="J409" s="35">
        <f t="shared" si="143"/>
        <v>50</v>
      </c>
      <c r="K409" s="77" t="s">
        <v>60</v>
      </c>
    </row>
    <row r="410" spans="1:11" s="8" customFormat="1" ht="15.75" customHeight="1">
      <c r="A410" s="102" t="s">
        <v>665</v>
      </c>
      <c r="B410" s="10" t="s">
        <v>289</v>
      </c>
      <c r="C410" s="309">
        <f>SUM(D410:J410)</f>
        <v>310</v>
      </c>
      <c r="D410" s="111">
        <v>80</v>
      </c>
      <c r="E410" s="111">
        <f>200-120</f>
        <v>80</v>
      </c>
      <c r="F410" s="299">
        <v>0</v>
      </c>
      <c r="G410" s="299">
        <v>0</v>
      </c>
      <c r="H410" s="299">
        <v>50</v>
      </c>
      <c r="I410" s="299">
        <v>50</v>
      </c>
      <c r="J410" s="52">
        <v>50</v>
      </c>
      <c r="K410" s="73"/>
    </row>
    <row r="411" spans="1:11" s="8" customFormat="1" ht="15.75" customHeight="1">
      <c r="A411" s="102"/>
      <c r="B411" s="10"/>
      <c r="C411" s="309"/>
      <c r="D411" s="111"/>
      <c r="E411" s="111"/>
      <c r="F411" s="299"/>
      <c r="G411" s="299"/>
      <c r="H411" s="299"/>
      <c r="I411" s="299"/>
      <c r="J411" s="52"/>
      <c r="K411" s="73"/>
    </row>
    <row r="412" spans="1:11" s="7" customFormat="1" ht="15" customHeight="1">
      <c r="A412" s="165"/>
      <c r="B412" s="429" t="s">
        <v>355</v>
      </c>
      <c r="C412" s="430"/>
      <c r="D412" s="430"/>
      <c r="E412" s="430"/>
      <c r="F412" s="430"/>
      <c r="G412" s="430"/>
      <c r="H412" s="430"/>
      <c r="I412" s="430"/>
      <c r="J412" s="430"/>
      <c r="K412" s="431"/>
    </row>
    <row r="413" spans="1:11" s="8" customFormat="1" ht="15.75">
      <c r="A413" s="103" t="s">
        <v>677</v>
      </c>
      <c r="B413" s="43" t="s">
        <v>356</v>
      </c>
      <c r="C413" s="309">
        <f>SUM(C414:C417)</f>
        <v>81813</v>
      </c>
      <c r="D413" s="115">
        <f>SUM(D414:D417)</f>
        <v>0</v>
      </c>
      <c r="E413" s="115">
        <f aca="true" t="shared" si="144" ref="E413:J413">SUM(E414:E417)</f>
        <v>24014</v>
      </c>
      <c r="F413" s="204">
        <f t="shared" si="144"/>
        <v>30867</v>
      </c>
      <c r="G413" s="308">
        <f t="shared" si="144"/>
        <v>0</v>
      </c>
      <c r="H413" s="308">
        <f t="shared" si="144"/>
        <v>140</v>
      </c>
      <c r="I413" s="308">
        <f t="shared" si="144"/>
        <v>110</v>
      </c>
      <c r="J413" s="16">
        <f t="shared" si="144"/>
        <v>26682</v>
      </c>
      <c r="K413" s="73"/>
    </row>
    <row r="414" spans="1:11" s="8" customFormat="1" ht="15" customHeight="1">
      <c r="A414" s="103" t="s">
        <v>678</v>
      </c>
      <c r="B414" s="10" t="s">
        <v>289</v>
      </c>
      <c r="C414" s="309">
        <f>SUM(D414:J414)</f>
        <v>860</v>
      </c>
      <c r="D414" s="117">
        <f aca="true" t="shared" si="145" ref="D414:J414">SUM(D420+D426)</f>
        <v>0</v>
      </c>
      <c r="E414" s="117">
        <f t="shared" si="145"/>
        <v>0</v>
      </c>
      <c r="F414" s="315">
        <f t="shared" si="145"/>
        <v>100</v>
      </c>
      <c r="G414" s="316">
        <f t="shared" si="145"/>
        <v>0</v>
      </c>
      <c r="H414" s="316">
        <f t="shared" si="145"/>
        <v>140</v>
      </c>
      <c r="I414" s="316">
        <f t="shared" si="145"/>
        <v>110</v>
      </c>
      <c r="J414" s="22">
        <f t="shared" si="145"/>
        <v>510</v>
      </c>
      <c r="K414" s="73"/>
    </row>
    <row r="415" spans="1:11" s="8" customFormat="1" ht="15" customHeight="1">
      <c r="A415" s="103" t="s">
        <v>679</v>
      </c>
      <c r="B415" s="10" t="s">
        <v>290</v>
      </c>
      <c r="C415" s="309">
        <f>SUM(D415:J415)</f>
        <v>0</v>
      </c>
      <c r="D415" s="117"/>
      <c r="E415" s="117"/>
      <c r="F415" s="315"/>
      <c r="G415" s="316"/>
      <c r="H415" s="316"/>
      <c r="I415" s="316"/>
      <c r="J415" s="22"/>
      <c r="K415" s="73"/>
    </row>
    <row r="416" spans="1:11" s="8" customFormat="1" ht="15" customHeight="1">
      <c r="A416" s="103" t="s">
        <v>1</v>
      </c>
      <c r="B416" s="10" t="s">
        <v>291</v>
      </c>
      <c r="C416" s="309">
        <f>SUM(D416:J416)</f>
        <v>80953</v>
      </c>
      <c r="D416" s="117">
        <f>SUM(D428)</f>
        <v>0</v>
      </c>
      <c r="E416" s="117">
        <f aca="true" t="shared" si="146" ref="E416:J416">SUM(E428)</f>
        <v>24014</v>
      </c>
      <c r="F416" s="315">
        <f t="shared" si="146"/>
        <v>30767</v>
      </c>
      <c r="G416" s="316">
        <f t="shared" si="146"/>
        <v>0</v>
      </c>
      <c r="H416" s="316">
        <f t="shared" si="146"/>
        <v>0</v>
      </c>
      <c r="I416" s="316">
        <f t="shared" si="146"/>
        <v>0</v>
      </c>
      <c r="J416" s="22">
        <f t="shared" si="146"/>
        <v>26172</v>
      </c>
      <c r="K416" s="73"/>
    </row>
    <row r="417" spans="1:11" s="8" customFormat="1" ht="15" customHeight="1">
      <c r="A417" s="103" t="s">
        <v>2</v>
      </c>
      <c r="B417" s="10" t="s">
        <v>292</v>
      </c>
      <c r="C417" s="309">
        <f>SUM(D417:J417)</f>
        <v>0</v>
      </c>
      <c r="D417" s="117"/>
      <c r="E417" s="117"/>
      <c r="F417" s="315"/>
      <c r="G417" s="316"/>
      <c r="H417" s="316"/>
      <c r="I417" s="316"/>
      <c r="J417" s="22"/>
      <c r="K417" s="73"/>
    </row>
    <row r="418" spans="1:11" s="8" customFormat="1" ht="15" customHeight="1">
      <c r="A418" s="166"/>
      <c r="B418" s="432" t="s">
        <v>293</v>
      </c>
      <c r="C418" s="433"/>
      <c r="D418" s="433"/>
      <c r="E418" s="433"/>
      <c r="F418" s="433"/>
      <c r="G418" s="433"/>
      <c r="H418" s="433"/>
      <c r="I418" s="433"/>
      <c r="J418" s="433"/>
      <c r="K418" s="434"/>
    </row>
    <row r="419" spans="1:11" s="8" customFormat="1" ht="35.25" customHeight="1">
      <c r="A419" s="103" t="s">
        <v>3</v>
      </c>
      <c r="B419" s="43" t="s">
        <v>316</v>
      </c>
      <c r="C419" s="309">
        <v>0</v>
      </c>
      <c r="D419" s="115"/>
      <c r="E419" s="115"/>
      <c r="F419" s="204"/>
      <c r="G419" s="308"/>
      <c r="H419" s="308"/>
      <c r="I419" s="308"/>
      <c r="J419" s="16"/>
      <c r="K419" s="73"/>
    </row>
    <row r="420" spans="1:11" s="8" customFormat="1" ht="15" customHeight="1">
      <c r="A420" s="103" t="s">
        <v>4</v>
      </c>
      <c r="B420" s="10" t="s">
        <v>289</v>
      </c>
      <c r="C420" s="309">
        <f>SUM(D420:J420)</f>
        <v>0</v>
      </c>
      <c r="D420" s="117"/>
      <c r="E420" s="117"/>
      <c r="F420" s="315"/>
      <c r="G420" s="316"/>
      <c r="H420" s="316"/>
      <c r="I420" s="316"/>
      <c r="J420" s="22"/>
      <c r="K420" s="73"/>
    </row>
    <row r="421" spans="1:11" s="8" customFormat="1" ht="15" customHeight="1">
      <c r="A421" s="169"/>
      <c r="B421" s="438" t="s">
        <v>294</v>
      </c>
      <c r="C421" s="439"/>
      <c r="D421" s="439"/>
      <c r="E421" s="439"/>
      <c r="F421" s="439"/>
      <c r="G421" s="439"/>
      <c r="H421" s="439"/>
      <c r="I421" s="439"/>
      <c r="J421" s="439"/>
      <c r="K421" s="440"/>
    </row>
    <row r="422" spans="1:11" s="8" customFormat="1" ht="48.75" customHeight="1">
      <c r="A422" s="103" t="s">
        <v>5</v>
      </c>
      <c r="B422" s="43" t="s">
        <v>574</v>
      </c>
      <c r="C422" s="309">
        <v>0</v>
      </c>
      <c r="D422" s="115"/>
      <c r="E422" s="115"/>
      <c r="F422" s="204"/>
      <c r="G422" s="308"/>
      <c r="H422" s="308"/>
      <c r="I422" s="308"/>
      <c r="J422" s="16"/>
      <c r="K422" s="73"/>
    </row>
    <row r="423" spans="1:11" s="8" customFormat="1" ht="15" customHeight="1">
      <c r="A423" s="103" t="s">
        <v>6</v>
      </c>
      <c r="B423" s="10" t="s">
        <v>289</v>
      </c>
      <c r="C423" s="309">
        <f>SUM(D423:J423)</f>
        <v>0</v>
      </c>
      <c r="D423" s="117"/>
      <c r="E423" s="117"/>
      <c r="F423" s="315"/>
      <c r="G423" s="316"/>
      <c r="H423" s="316"/>
      <c r="I423" s="316"/>
      <c r="J423" s="22"/>
      <c r="K423" s="73"/>
    </row>
    <row r="424" spans="1:11" s="8" customFormat="1" ht="15" customHeight="1">
      <c r="A424" s="166"/>
      <c r="B424" s="432" t="s">
        <v>297</v>
      </c>
      <c r="C424" s="433"/>
      <c r="D424" s="433"/>
      <c r="E424" s="433"/>
      <c r="F424" s="433"/>
      <c r="G424" s="433"/>
      <c r="H424" s="433"/>
      <c r="I424" s="433"/>
      <c r="J424" s="433"/>
      <c r="K424" s="434"/>
    </row>
    <row r="425" spans="1:11" s="8" customFormat="1" ht="31.5">
      <c r="A425" s="103" t="s">
        <v>7</v>
      </c>
      <c r="B425" s="43" t="s">
        <v>298</v>
      </c>
      <c r="C425" s="309">
        <f>SUM(B426:C428)</f>
        <v>81813</v>
      </c>
      <c r="D425" s="115">
        <v>0</v>
      </c>
      <c r="E425" s="114">
        <f aca="true" t="shared" si="147" ref="E425:J425">SUM(E426:E428)</f>
        <v>24014</v>
      </c>
      <c r="F425" s="204">
        <f t="shared" si="147"/>
        <v>30867</v>
      </c>
      <c r="G425" s="308">
        <f t="shared" si="147"/>
        <v>0</v>
      </c>
      <c r="H425" s="308">
        <f t="shared" si="147"/>
        <v>140</v>
      </c>
      <c r="I425" s="308">
        <f t="shared" si="147"/>
        <v>110</v>
      </c>
      <c r="J425" s="16">
        <f t="shared" si="147"/>
        <v>26682</v>
      </c>
      <c r="K425" s="79"/>
    </row>
    <row r="426" spans="1:11" s="8" customFormat="1" ht="15" customHeight="1">
      <c r="A426" s="103" t="s">
        <v>8</v>
      </c>
      <c r="B426" s="10" t="s">
        <v>289</v>
      </c>
      <c r="C426" s="309">
        <f>SUM(D426:J426)</f>
        <v>860</v>
      </c>
      <c r="D426" s="117">
        <f>SUM(D434+D437+D440+D443)</f>
        <v>0</v>
      </c>
      <c r="E426" s="95">
        <f aca="true" t="shared" si="148" ref="E426:J426">SUM(E434+E437+E440+E443)</f>
        <v>0</v>
      </c>
      <c r="F426" s="315">
        <f t="shared" si="148"/>
        <v>100</v>
      </c>
      <c r="G426" s="316">
        <f t="shared" si="148"/>
        <v>0</v>
      </c>
      <c r="H426" s="316">
        <f t="shared" si="148"/>
        <v>140</v>
      </c>
      <c r="I426" s="316">
        <f t="shared" si="148"/>
        <v>110</v>
      </c>
      <c r="J426" s="22">
        <f t="shared" si="148"/>
        <v>510</v>
      </c>
      <c r="K426" s="79"/>
    </row>
    <row r="427" spans="1:11" s="8" customFormat="1" ht="15" customHeight="1">
      <c r="A427" s="103" t="s">
        <v>65</v>
      </c>
      <c r="B427" s="10" t="s">
        <v>290</v>
      </c>
      <c r="C427" s="309">
        <f>SUM(D427:J427)</f>
        <v>0</v>
      </c>
      <c r="D427" s="117">
        <v>0</v>
      </c>
      <c r="E427" s="95">
        <v>0</v>
      </c>
      <c r="F427" s="315">
        <v>0</v>
      </c>
      <c r="G427" s="316">
        <v>0</v>
      </c>
      <c r="H427" s="316">
        <v>0</v>
      </c>
      <c r="I427" s="316">
        <v>0</v>
      </c>
      <c r="J427" s="22">
        <v>0</v>
      </c>
      <c r="K427" s="73"/>
    </row>
    <row r="428" spans="1:11" s="8" customFormat="1" ht="15" customHeight="1">
      <c r="A428" s="103" t="s">
        <v>66</v>
      </c>
      <c r="B428" s="10" t="s">
        <v>291</v>
      </c>
      <c r="C428" s="309">
        <f>SUM(D428:J428)</f>
        <v>80953</v>
      </c>
      <c r="D428" s="95">
        <f aca="true" t="shared" si="149" ref="D428:J428">SUM(D431)</f>
        <v>0</v>
      </c>
      <c r="E428" s="95">
        <f t="shared" si="149"/>
        <v>24014</v>
      </c>
      <c r="F428" s="315">
        <f t="shared" si="149"/>
        <v>30767</v>
      </c>
      <c r="G428" s="315">
        <f t="shared" si="149"/>
        <v>0</v>
      </c>
      <c r="H428" s="315">
        <f t="shared" si="149"/>
        <v>0</v>
      </c>
      <c r="I428" s="315">
        <f t="shared" si="149"/>
        <v>0</v>
      </c>
      <c r="J428" s="34">
        <f t="shared" si="149"/>
        <v>26172</v>
      </c>
      <c r="K428" s="73"/>
    </row>
    <row r="429" spans="1:11" s="8" customFormat="1" ht="15" customHeight="1">
      <c r="A429" s="103"/>
      <c r="B429" s="10"/>
      <c r="C429" s="309"/>
      <c r="D429" s="95"/>
      <c r="E429" s="95"/>
      <c r="F429" s="315"/>
      <c r="G429" s="315"/>
      <c r="H429" s="315"/>
      <c r="I429" s="315"/>
      <c r="J429" s="34"/>
      <c r="K429" s="73"/>
    </row>
    <row r="430" spans="1:11" s="8" customFormat="1" ht="61.5" customHeight="1">
      <c r="A430" s="103" t="s">
        <v>67</v>
      </c>
      <c r="B430" s="43" t="s">
        <v>357</v>
      </c>
      <c r="C430" s="308">
        <f aca="true" t="shared" si="150" ref="C430:J430">SUM(C431)</f>
        <v>80953</v>
      </c>
      <c r="D430" s="114">
        <f t="shared" si="150"/>
        <v>0</v>
      </c>
      <c r="E430" s="114">
        <f t="shared" si="150"/>
        <v>24014</v>
      </c>
      <c r="F430" s="204">
        <f t="shared" si="150"/>
        <v>30767</v>
      </c>
      <c r="G430" s="204">
        <f t="shared" si="150"/>
        <v>0</v>
      </c>
      <c r="H430" s="204">
        <f t="shared" si="150"/>
        <v>0</v>
      </c>
      <c r="I430" s="204">
        <f t="shared" si="150"/>
        <v>0</v>
      </c>
      <c r="J430" s="35">
        <f t="shared" si="150"/>
        <v>26172</v>
      </c>
      <c r="K430" s="77" t="s">
        <v>46</v>
      </c>
    </row>
    <row r="431" spans="1:11" s="8" customFormat="1" ht="15.75" customHeight="1">
      <c r="A431" s="103" t="s">
        <v>68</v>
      </c>
      <c r="B431" s="10" t="s">
        <v>291</v>
      </c>
      <c r="C431" s="309">
        <f>SUM(D431:J431)</f>
        <v>80953</v>
      </c>
      <c r="D431" s="95">
        <v>0</v>
      </c>
      <c r="E431" s="95">
        <v>24014</v>
      </c>
      <c r="F431" s="315">
        <f>30767</f>
        <v>30767</v>
      </c>
      <c r="G431" s="315"/>
      <c r="H431" s="315"/>
      <c r="I431" s="315"/>
      <c r="J431" s="34">
        <v>26172</v>
      </c>
      <c r="K431" s="77"/>
    </row>
    <row r="432" spans="1:11" s="8" customFormat="1" ht="15.75" customHeight="1">
      <c r="A432" s="103"/>
      <c r="B432" s="10"/>
      <c r="C432" s="309"/>
      <c r="D432" s="95"/>
      <c r="E432" s="95"/>
      <c r="F432" s="315"/>
      <c r="G432" s="315"/>
      <c r="H432" s="315"/>
      <c r="I432" s="315"/>
      <c r="J432" s="34"/>
      <c r="K432" s="77"/>
    </row>
    <row r="433" spans="1:11" s="8" customFormat="1" ht="48" customHeight="1">
      <c r="A433" s="102" t="s">
        <v>110</v>
      </c>
      <c r="B433" s="43" t="s">
        <v>358</v>
      </c>
      <c r="C433" s="309">
        <f>SUM(D433:J433)</f>
        <v>800</v>
      </c>
      <c r="D433" s="114">
        <f>SUM(D434)</f>
        <v>0</v>
      </c>
      <c r="E433" s="114">
        <f aca="true" t="shared" si="151" ref="E433:J433">SUM(E434)</f>
        <v>0</v>
      </c>
      <c r="F433" s="204">
        <f t="shared" si="151"/>
        <v>100</v>
      </c>
      <c r="G433" s="204">
        <f t="shared" si="151"/>
        <v>0</v>
      </c>
      <c r="H433" s="204">
        <f t="shared" si="151"/>
        <v>100</v>
      </c>
      <c r="I433" s="204">
        <f t="shared" si="151"/>
        <v>100</v>
      </c>
      <c r="J433" s="35">
        <f t="shared" si="151"/>
        <v>500</v>
      </c>
      <c r="K433" s="77" t="s">
        <v>61</v>
      </c>
    </row>
    <row r="434" spans="1:11" s="8" customFormat="1" ht="15.75" customHeight="1">
      <c r="A434" s="102" t="s">
        <v>111</v>
      </c>
      <c r="B434" s="10" t="s">
        <v>289</v>
      </c>
      <c r="C434" s="309">
        <f>SUM(D434:J434)</f>
        <v>800</v>
      </c>
      <c r="D434" s="111">
        <v>0</v>
      </c>
      <c r="E434" s="111">
        <v>0</v>
      </c>
      <c r="F434" s="299">
        <v>100</v>
      </c>
      <c r="G434" s="299"/>
      <c r="H434" s="299">
        <f>100</f>
        <v>100</v>
      </c>
      <c r="I434" s="299">
        <f>100</f>
        <v>100</v>
      </c>
      <c r="J434" s="52">
        <v>500</v>
      </c>
      <c r="K434" s="77"/>
    </row>
    <row r="435" spans="1:11" s="8" customFormat="1" ht="15.75" customHeight="1">
      <c r="A435" s="102"/>
      <c r="B435" s="10"/>
      <c r="C435" s="309"/>
      <c r="D435" s="111"/>
      <c r="E435" s="111"/>
      <c r="F435" s="299"/>
      <c r="G435" s="299"/>
      <c r="H435" s="299"/>
      <c r="I435" s="299"/>
      <c r="J435" s="52"/>
      <c r="K435" s="77"/>
    </row>
    <row r="436" spans="1:11" s="8" customFormat="1" ht="52.5" customHeight="1">
      <c r="A436" s="102" t="s">
        <v>112</v>
      </c>
      <c r="B436" s="43" t="s">
        <v>359</v>
      </c>
      <c r="C436" s="309">
        <f>SUM(D436:J436)</f>
        <v>30</v>
      </c>
      <c r="D436" s="114">
        <f>SUM(D437)</f>
        <v>0</v>
      </c>
      <c r="E436" s="114">
        <f aca="true" t="shared" si="152" ref="E436:J436">SUM(E437)</f>
        <v>0</v>
      </c>
      <c r="F436" s="204">
        <f t="shared" si="152"/>
        <v>0</v>
      </c>
      <c r="G436" s="204">
        <f t="shared" si="152"/>
        <v>0</v>
      </c>
      <c r="H436" s="204">
        <f t="shared" si="152"/>
        <v>10</v>
      </c>
      <c r="I436" s="204">
        <f t="shared" si="152"/>
        <v>10</v>
      </c>
      <c r="J436" s="35">
        <f t="shared" si="152"/>
        <v>10</v>
      </c>
      <c r="K436" s="77" t="s">
        <v>62</v>
      </c>
    </row>
    <row r="437" spans="1:11" s="8" customFormat="1" ht="15.75" customHeight="1">
      <c r="A437" s="102" t="s">
        <v>152</v>
      </c>
      <c r="B437" s="10" t="s">
        <v>289</v>
      </c>
      <c r="C437" s="309">
        <f>SUM(D437:J437)</f>
        <v>30</v>
      </c>
      <c r="D437" s="111"/>
      <c r="E437" s="111"/>
      <c r="F437" s="299"/>
      <c r="G437" s="299"/>
      <c r="H437" s="299">
        <v>10</v>
      </c>
      <c r="I437" s="299">
        <v>10</v>
      </c>
      <c r="J437" s="52">
        <v>10</v>
      </c>
      <c r="K437" s="77"/>
    </row>
    <row r="438" spans="1:11" s="8" customFormat="1" ht="15.75" customHeight="1">
      <c r="A438" s="102"/>
      <c r="B438" s="10"/>
      <c r="C438" s="309"/>
      <c r="D438" s="111"/>
      <c r="E438" s="111"/>
      <c r="F438" s="299"/>
      <c r="G438" s="299"/>
      <c r="H438" s="299"/>
      <c r="I438" s="299"/>
      <c r="J438" s="52"/>
      <c r="K438" s="77"/>
    </row>
    <row r="439" spans="1:11" s="8" customFormat="1" ht="34.5" customHeight="1">
      <c r="A439" s="102" t="s">
        <v>169</v>
      </c>
      <c r="B439" s="43" t="s">
        <v>360</v>
      </c>
      <c r="C439" s="309">
        <v>0</v>
      </c>
      <c r="D439" s="114">
        <f>SUM(D440)</f>
        <v>0</v>
      </c>
      <c r="E439" s="114">
        <f aca="true" t="shared" si="153" ref="E439:J439">SUM(E440)</f>
        <v>0</v>
      </c>
      <c r="F439" s="204">
        <f t="shared" si="153"/>
        <v>0</v>
      </c>
      <c r="G439" s="204">
        <f t="shared" si="153"/>
        <v>0</v>
      </c>
      <c r="H439" s="204">
        <f t="shared" si="153"/>
        <v>0</v>
      </c>
      <c r="I439" s="204">
        <f t="shared" si="153"/>
        <v>0</v>
      </c>
      <c r="J439" s="35">
        <f t="shared" si="153"/>
        <v>0</v>
      </c>
      <c r="K439" s="77" t="s">
        <v>63</v>
      </c>
    </row>
    <row r="440" spans="1:11" s="8" customFormat="1" ht="15.75" customHeight="1">
      <c r="A440" s="102" t="s">
        <v>170</v>
      </c>
      <c r="B440" s="10" t="s">
        <v>289</v>
      </c>
      <c r="C440" s="309">
        <v>0</v>
      </c>
      <c r="D440" s="111"/>
      <c r="E440" s="111"/>
      <c r="F440" s="299"/>
      <c r="G440" s="299"/>
      <c r="H440" s="299"/>
      <c r="I440" s="299"/>
      <c r="J440" s="52"/>
      <c r="K440" s="77"/>
    </row>
    <row r="441" spans="1:11" s="8" customFormat="1" ht="15.75" customHeight="1">
      <c r="A441" s="102"/>
      <c r="B441" s="10"/>
      <c r="C441" s="309"/>
      <c r="D441" s="111"/>
      <c r="E441" s="111"/>
      <c r="F441" s="299"/>
      <c r="G441" s="299"/>
      <c r="H441" s="299"/>
      <c r="I441" s="299"/>
      <c r="J441" s="52"/>
      <c r="K441" s="77"/>
    </row>
    <row r="442" spans="1:11" s="8" customFormat="1" ht="49.5" customHeight="1">
      <c r="A442" s="102" t="s">
        <v>171</v>
      </c>
      <c r="B442" s="43" t="s">
        <v>361</v>
      </c>
      <c r="C442" s="309">
        <f>SUM(D442:J442)</f>
        <v>30</v>
      </c>
      <c r="D442" s="114">
        <f aca="true" t="shared" si="154" ref="D442:J442">SUM(D443)</f>
        <v>0</v>
      </c>
      <c r="E442" s="114">
        <f t="shared" si="154"/>
        <v>0</v>
      </c>
      <c r="F442" s="204">
        <f t="shared" si="154"/>
        <v>0</v>
      </c>
      <c r="G442" s="204">
        <f t="shared" si="154"/>
        <v>0</v>
      </c>
      <c r="H442" s="204">
        <f t="shared" si="154"/>
        <v>30</v>
      </c>
      <c r="I442" s="204">
        <f t="shared" si="154"/>
        <v>0</v>
      </c>
      <c r="J442" s="35">
        <f t="shared" si="154"/>
        <v>0</v>
      </c>
      <c r="K442" s="77" t="s">
        <v>64</v>
      </c>
    </row>
    <row r="443" spans="1:11" s="8" customFormat="1" ht="15.75" customHeight="1">
      <c r="A443" s="102" t="s">
        <v>172</v>
      </c>
      <c r="B443" s="10" t="s">
        <v>289</v>
      </c>
      <c r="C443" s="309">
        <f>SUM(D443:J443)</f>
        <v>30</v>
      </c>
      <c r="D443" s="111"/>
      <c r="E443" s="111"/>
      <c r="F443" s="299"/>
      <c r="G443" s="299"/>
      <c r="H443" s="299">
        <v>30</v>
      </c>
      <c r="I443" s="299"/>
      <c r="J443" s="52"/>
      <c r="K443" s="73"/>
    </row>
    <row r="445" ht="12.75" customHeight="1" hidden="1">
      <c r="C445" s="3" t="s">
        <v>328</v>
      </c>
    </row>
    <row r="446" spans="2:11" ht="12.75" customHeight="1" hidden="1">
      <c r="B446" s="53" t="s">
        <v>329</v>
      </c>
      <c r="C446" s="16">
        <f aca="true" t="shared" si="155" ref="C446:C451">SUM(D446:J446)</f>
        <v>3660895.4176600007</v>
      </c>
      <c r="D446" s="54">
        <f aca="true" t="shared" si="156" ref="D446:J446">SUM(D18)</f>
        <v>707299.138</v>
      </c>
      <c r="E446" s="54">
        <f t="shared" si="156"/>
        <v>713636.937</v>
      </c>
      <c r="F446" s="35">
        <f t="shared" si="156"/>
        <v>702956.4426600001</v>
      </c>
      <c r="G446" s="54">
        <f t="shared" si="156"/>
        <v>250506.2</v>
      </c>
      <c r="H446" s="54">
        <f t="shared" si="156"/>
        <v>247799.30000000005</v>
      </c>
      <c r="I446" s="54">
        <f t="shared" si="156"/>
        <v>254631.09999999998</v>
      </c>
      <c r="J446" s="54">
        <f t="shared" si="156"/>
        <v>784066.3</v>
      </c>
      <c r="K446" s="80"/>
    </row>
    <row r="447" spans="2:11" ht="12.75" customHeight="1" hidden="1">
      <c r="B447" s="55" t="s">
        <v>330</v>
      </c>
      <c r="C447" s="56">
        <f t="shared" si="155"/>
        <v>36798.448000000004</v>
      </c>
      <c r="D447" s="57">
        <f>SUM(D218+D248+D254)</f>
        <v>36798.448000000004</v>
      </c>
      <c r="E447" s="57">
        <f aca="true" t="shared" si="157" ref="E447:J447">SUM(E218+E248)</f>
        <v>0</v>
      </c>
      <c r="F447" s="195">
        <f t="shared" si="157"/>
        <v>0</v>
      </c>
      <c r="G447" s="57">
        <f t="shared" si="157"/>
        <v>0</v>
      </c>
      <c r="H447" s="57">
        <f t="shared" si="157"/>
        <v>0</v>
      </c>
      <c r="I447" s="57">
        <f t="shared" si="157"/>
        <v>0</v>
      </c>
      <c r="J447" s="57">
        <f t="shared" si="157"/>
        <v>0</v>
      </c>
      <c r="K447" s="73"/>
    </row>
    <row r="448" spans="2:11" ht="12.75" customHeight="1" hidden="1">
      <c r="B448" s="55" t="s">
        <v>347</v>
      </c>
      <c r="C448" s="56">
        <f t="shared" si="155"/>
        <v>57099.123</v>
      </c>
      <c r="D448" s="57">
        <f aca="true" t="shared" si="158" ref="D448:J448">SUM(D43)</f>
        <v>49099.123</v>
      </c>
      <c r="E448" s="57">
        <f t="shared" si="158"/>
        <v>0</v>
      </c>
      <c r="F448" s="195">
        <f t="shared" si="158"/>
        <v>0</v>
      </c>
      <c r="G448" s="57">
        <f t="shared" si="158"/>
        <v>8000</v>
      </c>
      <c r="H448" s="57">
        <f t="shared" si="158"/>
        <v>0</v>
      </c>
      <c r="I448" s="57">
        <f t="shared" si="158"/>
        <v>0</v>
      </c>
      <c r="J448" s="57">
        <f t="shared" si="158"/>
        <v>0</v>
      </c>
      <c r="K448" s="73"/>
    </row>
    <row r="449" spans="2:11" ht="12.75" customHeight="1" hidden="1">
      <c r="B449" s="55" t="s">
        <v>348</v>
      </c>
      <c r="C449" s="56">
        <f t="shared" si="155"/>
        <v>3103.2219999999998</v>
      </c>
      <c r="D449" s="57">
        <f aca="true" t="shared" si="159" ref="D449:J449">SUM(D124)</f>
        <v>2207</v>
      </c>
      <c r="E449" s="57">
        <f t="shared" si="159"/>
        <v>896.222</v>
      </c>
      <c r="F449" s="195">
        <f t="shared" si="159"/>
        <v>0</v>
      </c>
      <c r="G449" s="57">
        <f t="shared" si="159"/>
        <v>0</v>
      </c>
      <c r="H449" s="57">
        <f t="shared" si="159"/>
        <v>0</v>
      </c>
      <c r="I449" s="57">
        <f t="shared" si="159"/>
        <v>0</v>
      </c>
      <c r="J449" s="57">
        <f t="shared" si="159"/>
        <v>0</v>
      </c>
      <c r="K449" s="73"/>
    </row>
    <row r="450" spans="2:11" ht="12.75" customHeight="1" hidden="1">
      <c r="B450" s="55" t="s">
        <v>334</v>
      </c>
      <c r="C450" s="56">
        <f t="shared" si="155"/>
        <v>156597.4</v>
      </c>
      <c r="D450" s="57">
        <f aca="true" t="shared" si="160" ref="D450:J450">SUM(D22)</f>
        <v>35197.4</v>
      </c>
      <c r="E450" s="57">
        <f t="shared" si="160"/>
        <v>38000</v>
      </c>
      <c r="F450" s="195">
        <f t="shared" si="160"/>
        <v>41700</v>
      </c>
      <c r="G450" s="57">
        <f t="shared" si="160"/>
        <v>0</v>
      </c>
      <c r="H450" s="57">
        <f t="shared" si="160"/>
        <v>0</v>
      </c>
      <c r="I450" s="57">
        <f t="shared" si="160"/>
        <v>0</v>
      </c>
      <c r="J450" s="57">
        <f t="shared" si="160"/>
        <v>41700</v>
      </c>
      <c r="K450" s="73"/>
    </row>
    <row r="451" spans="2:11" ht="12.75" customHeight="1" hidden="1">
      <c r="B451" s="58"/>
      <c r="C451" s="56">
        <f t="shared" si="155"/>
        <v>0</v>
      </c>
      <c r="D451" s="57"/>
      <c r="E451" s="57"/>
      <c r="F451" s="195"/>
      <c r="G451" s="57"/>
      <c r="H451" s="57"/>
      <c r="I451" s="57"/>
      <c r="J451" s="57"/>
      <c r="K451" s="73"/>
    </row>
    <row r="452" spans="2:11" ht="12.75" customHeight="1" hidden="1">
      <c r="B452" s="106"/>
      <c r="C452" s="16"/>
      <c r="D452" s="51"/>
      <c r="E452" s="51"/>
      <c r="F452" s="52"/>
      <c r="G452" s="51"/>
      <c r="H452" s="51"/>
      <c r="I452" s="51"/>
      <c r="J452" s="51"/>
      <c r="K452" s="73"/>
    </row>
    <row r="453" spans="2:11" ht="12.75" customHeight="1" hidden="1">
      <c r="B453" s="59" t="s">
        <v>331</v>
      </c>
      <c r="C453" s="60">
        <f>SUM(D453:J453)</f>
        <v>1400</v>
      </c>
      <c r="D453" s="61">
        <v>400</v>
      </c>
      <c r="E453" s="62">
        <v>500</v>
      </c>
      <c r="F453" s="62">
        <v>500</v>
      </c>
      <c r="G453" s="62"/>
      <c r="H453" s="62"/>
      <c r="I453" s="62"/>
      <c r="J453" s="62"/>
      <c r="K453" s="73"/>
    </row>
    <row r="454" spans="2:11" ht="25.5" customHeight="1" hidden="1">
      <c r="B454" s="65" t="s">
        <v>341</v>
      </c>
      <c r="C454" s="60">
        <f>SUM(D454:J454)</f>
        <v>199.6</v>
      </c>
      <c r="D454" s="61">
        <v>99.6</v>
      </c>
      <c r="E454" s="62">
        <v>24</v>
      </c>
      <c r="F454" s="62">
        <v>76</v>
      </c>
      <c r="G454" s="62"/>
      <c r="H454" s="62"/>
      <c r="I454" s="62"/>
      <c r="J454" s="62"/>
      <c r="K454" s="73"/>
    </row>
    <row r="455" spans="2:11" ht="12.75" customHeight="1" hidden="1">
      <c r="B455" s="59" t="s">
        <v>332</v>
      </c>
      <c r="C455" s="60">
        <f>SUM(D455:J455)</f>
        <v>735</v>
      </c>
      <c r="D455" s="61">
        <f>243.2+248.6</f>
        <v>491.79999999999995</v>
      </c>
      <c r="E455" s="62"/>
      <c r="F455" s="62">
        <v>243.2</v>
      </c>
      <c r="G455" s="62"/>
      <c r="H455" s="62"/>
      <c r="I455" s="62"/>
      <c r="J455" s="62"/>
      <c r="K455" s="73"/>
    </row>
    <row r="456" spans="2:11" ht="25.5" customHeight="1" hidden="1">
      <c r="B456" s="65" t="s">
        <v>340</v>
      </c>
      <c r="C456" s="60">
        <f>SUM(D456:J456)</f>
        <v>390</v>
      </c>
      <c r="D456" s="61">
        <v>390</v>
      </c>
      <c r="E456" s="62"/>
      <c r="F456" s="62"/>
      <c r="G456" s="62"/>
      <c r="H456" s="62"/>
      <c r="I456" s="62"/>
      <c r="J456" s="62"/>
      <c r="K456" s="73"/>
    </row>
    <row r="457" spans="2:11" ht="25.5" customHeight="1" hidden="1">
      <c r="B457" s="65" t="s">
        <v>339</v>
      </c>
      <c r="C457" s="60">
        <f>SUM(D457:J457)</f>
        <v>14953</v>
      </c>
      <c r="D457" s="61">
        <f>8343+6610</f>
        <v>14953</v>
      </c>
      <c r="E457" s="62"/>
      <c r="F457" s="62"/>
      <c r="G457" s="62"/>
      <c r="H457" s="62"/>
      <c r="I457" s="62"/>
      <c r="J457" s="62"/>
      <c r="K457" s="73"/>
    </row>
    <row r="458" spans="2:11" ht="12.75" customHeight="1" hidden="1">
      <c r="B458" s="106"/>
      <c r="C458" s="16"/>
      <c r="D458" s="51"/>
      <c r="E458" s="52"/>
      <c r="F458" s="52"/>
      <c r="G458" s="52"/>
      <c r="H458" s="52"/>
      <c r="I458" s="52"/>
      <c r="J458" s="52"/>
      <c r="K458" s="73"/>
    </row>
    <row r="459" spans="2:11" ht="12.75" customHeight="1" hidden="1">
      <c r="B459" s="106" t="s">
        <v>338</v>
      </c>
      <c r="C459" s="16">
        <f>SUM(D459:J459)</f>
        <v>3424974.8246600004</v>
      </c>
      <c r="D459" s="51">
        <f>SUM(D446-D447-D448-D449-D450-D451+D453+D454+D455+D456+D457)</f>
        <v>600331.567</v>
      </c>
      <c r="E459" s="51">
        <f aca="true" t="shared" si="161" ref="E459:J459">SUM(E446-E447-E448-E449-E450-E451+E453+E454+E455+E456+E457)</f>
        <v>675264.7150000001</v>
      </c>
      <c r="F459" s="52">
        <f t="shared" si="161"/>
        <v>662075.64266</v>
      </c>
      <c r="G459" s="51">
        <f t="shared" si="161"/>
        <v>242506.2</v>
      </c>
      <c r="H459" s="51">
        <f t="shared" si="161"/>
        <v>247799.30000000005</v>
      </c>
      <c r="I459" s="51">
        <f t="shared" si="161"/>
        <v>254631.09999999998</v>
      </c>
      <c r="J459" s="51">
        <f t="shared" si="161"/>
        <v>742366.3</v>
      </c>
      <c r="K459" s="73"/>
    </row>
    <row r="460" spans="1:11" s="3" customFormat="1" ht="38.25" customHeight="1" hidden="1">
      <c r="A460" s="162"/>
      <c r="B460" s="84" t="s">
        <v>346</v>
      </c>
      <c r="C460" s="16">
        <f>SUM(D460:J460)</f>
        <v>1879872.9599999997</v>
      </c>
      <c r="D460" s="54">
        <f>577370.1-1100+1148+877+1245.1+750+390+248.6+8343+6610+3606.7+210.16-1207+657.7+6741-9304-896</f>
        <v>595690.3599999999</v>
      </c>
      <c r="E460" s="54">
        <f>609594.9+5000+930</f>
        <v>615524.9</v>
      </c>
      <c r="F460" s="35">
        <f>662674.7+5000+983</f>
        <v>668657.7</v>
      </c>
      <c r="G460" s="54"/>
      <c r="H460" s="54"/>
      <c r="I460" s="54"/>
      <c r="J460" s="54"/>
      <c r="K460" s="80"/>
    </row>
    <row r="461" spans="1:11" s="63" customFormat="1" ht="12.75" customHeight="1" hidden="1">
      <c r="A461" s="162"/>
      <c r="B461" s="106" t="s">
        <v>333</v>
      </c>
      <c r="C461" s="109">
        <f>SUM(D461:J461)</f>
        <v>1545101.8646600004</v>
      </c>
      <c r="D461" s="64">
        <f aca="true" t="shared" si="162" ref="D461:J461">D459-D460</f>
        <v>4641.2070000001695</v>
      </c>
      <c r="E461" s="64">
        <f t="shared" si="162"/>
        <v>59739.81500000006</v>
      </c>
      <c r="F461" s="30">
        <f t="shared" si="162"/>
        <v>-6582.057339999941</v>
      </c>
      <c r="G461" s="64">
        <f t="shared" si="162"/>
        <v>242506.2</v>
      </c>
      <c r="H461" s="64">
        <f t="shared" si="162"/>
        <v>247799.30000000005</v>
      </c>
      <c r="I461" s="64">
        <f t="shared" si="162"/>
        <v>254631.09999999998</v>
      </c>
      <c r="J461" s="64">
        <f t="shared" si="162"/>
        <v>742366.3</v>
      </c>
      <c r="K461" s="75"/>
    </row>
    <row r="462" ht="12.75" customHeight="1" hidden="1"/>
    <row r="463" ht="12.75" customHeight="1" hidden="1"/>
    <row r="464" spans="2:3" ht="12.75" customHeight="1" hidden="1">
      <c r="B464" s="83" t="s">
        <v>335</v>
      </c>
      <c r="C464" s="3" t="s">
        <v>336</v>
      </c>
    </row>
    <row r="465" ht="12.75" customHeight="1" hidden="1"/>
    <row r="466" ht="12.75" customHeight="1" hidden="1">
      <c r="B466" s="105" t="s">
        <v>345</v>
      </c>
    </row>
    <row r="467" ht="12.75" customHeight="1" hidden="1"/>
    <row r="468" ht="12.75" customHeight="1" hidden="1"/>
    <row r="469" spans="2:10" ht="12.75">
      <c r="B469" s="209" t="s">
        <v>162</v>
      </c>
      <c r="C469" s="206"/>
      <c r="D469" s="207"/>
      <c r="E469" s="207"/>
      <c r="F469" s="208"/>
      <c r="G469" s="210">
        <f>244554.7+6475+12.6</f>
        <v>251042.30000000002</v>
      </c>
      <c r="H469" s="210">
        <f>248610.8+12.6</f>
        <v>248623.4</v>
      </c>
      <c r="I469" s="210">
        <f>255152.4+12.6</f>
        <v>255165</v>
      </c>
      <c r="J469" s="207"/>
    </row>
    <row r="470" spans="3:10" ht="12.75">
      <c r="C470" s="3" t="s">
        <v>287</v>
      </c>
      <c r="D470" s="211">
        <v>2014</v>
      </c>
      <c r="E470" s="211">
        <v>2015</v>
      </c>
      <c r="F470" s="212">
        <v>2016</v>
      </c>
      <c r="G470" s="212">
        <v>2017</v>
      </c>
      <c r="H470" s="212">
        <v>2018</v>
      </c>
      <c r="I470" s="212">
        <v>2019</v>
      </c>
      <c r="J470" s="212">
        <v>2020</v>
      </c>
    </row>
    <row r="472" spans="2:10" ht="12.75">
      <c r="B472" s="209" t="s">
        <v>173</v>
      </c>
      <c r="C472" s="206"/>
      <c r="D472" s="207"/>
      <c r="E472" s="207"/>
      <c r="F472" s="208"/>
      <c r="G472" s="210">
        <f>G18-G469</f>
        <v>-536.1000000000058</v>
      </c>
      <c r="H472" s="210">
        <f>H18-H469</f>
        <v>-824.0999999999476</v>
      </c>
      <c r="I472" s="210">
        <f>I18-I469</f>
        <v>-533.9000000000233</v>
      </c>
      <c r="J472" s="207"/>
    </row>
    <row r="473" spans="2:10" ht="12.75">
      <c r="B473" s="106" t="s">
        <v>163</v>
      </c>
      <c r="C473" s="206"/>
      <c r="D473" s="207"/>
      <c r="E473" s="207"/>
      <c r="F473" s="208"/>
      <c r="G473" s="210">
        <f>523.5+12.6</f>
        <v>536.1</v>
      </c>
      <c r="H473" s="210">
        <f>568.3+12.6</f>
        <v>580.9</v>
      </c>
      <c r="I473" s="210">
        <f>521.3+12.6</f>
        <v>533.9</v>
      </c>
      <c r="J473" s="207"/>
    </row>
    <row r="474" spans="2:10" ht="12.75">
      <c r="B474" s="106" t="s">
        <v>164</v>
      </c>
      <c r="C474" s="206"/>
      <c r="D474" s="207"/>
      <c r="E474" s="207"/>
      <c r="F474" s="208"/>
      <c r="G474" s="210"/>
      <c r="H474" s="210">
        <v>243.2</v>
      </c>
      <c r="I474" s="210"/>
      <c r="J474" s="207"/>
    </row>
    <row r="475" spans="1:11" s="3" customFormat="1" ht="12.75">
      <c r="A475" s="213"/>
      <c r="B475" s="53" t="s">
        <v>165</v>
      </c>
      <c r="C475" s="206"/>
      <c r="D475" s="206"/>
      <c r="E475" s="206"/>
      <c r="F475" s="214"/>
      <c r="G475" s="215">
        <f>SUM(G473:G474)</f>
        <v>536.1</v>
      </c>
      <c r="H475" s="215">
        <f>SUM(H473:H474)</f>
        <v>824.0999999999999</v>
      </c>
      <c r="I475" s="215">
        <f>SUM(I473:I474)</f>
        <v>533.9</v>
      </c>
      <c r="J475" s="206"/>
      <c r="K475" s="216"/>
    </row>
    <row r="476" spans="1:11" s="224" customFormat="1" ht="11.25">
      <c r="A476" s="217"/>
      <c r="B476" s="218" t="s">
        <v>166</v>
      </c>
      <c r="C476" s="219"/>
      <c r="D476" s="220"/>
      <c r="E476" s="220"/>
      <c r="F476" s="221"/>
      <c r="G476" s="222">
        <f>G475+G472</f>
        <v>-5.7980287238024175E-12</v>
      </c>
      <c r="H476" s="222">
        <f>H475+H472</f>
        <v>5.2295945351943374E-11</v>
      </c>
      <c r="I476" s="222">
        <f>I475+I472</f>
        <v>-2.3305801732931286E-11</v>
      </c>
      <c r="J476" s="220"/>
      <c r="K476" s="223"/>
    </row>
  </sheetData>
  <sheetProtection/>
  <mergeCells count="41">
    <mergeCell ref="B418:K418"/>
    <mergeCell ref="B421:K421"/>
    <mergeCell ref="B324:K324"/>
    <mergeCell ref="B167:K167"/>
    <mergeCell ref="B381:K381"/>
    <mergeCell ref="B412:K412"/>
    <mergeCell ref="B373:K373"/>
    <mergeCell ref="B369:K369"/>
    <mergeCell ref="B424:K424"/>
    <mergeCell ref="B150:K150"/>
    <mergeCell ref="B182:K182"/>
    <mergeCell ref="B295:K295"/>
    <mergeCell ref="B300:K300"/>
    <mergeCell ref="B305:K305"/>
    <mergeCell ref="B314:K314"/>
    <mergeCell ref="B363:K363"/>
    <mergeCell ref="B330:K330"/>
    <mergeCell ref="B333:K333"/>
    <mergeCell ref="B156:K156"/>
    <mergeCell ref="B336:K336"/>
    <mergeCell ref="B357:K357"/>
    <mergeCell ref="B73:K73"/>
    <mergeCell ref="B144:K144"/>
    <mergeCell ref="B48:K48"/>
    <mergeCell ref="B66:K66"/>
    <mergeCell ref="C15:J15"/>
    <mergeCell ref="A11:K11"/>
    <mergeCell ref="A12:K12"/>
    <mergeCell ref="C16:C17"/>
    <mergeCell ref="B15:B17"/>
    <mergeCell ref="A15:A17"/>
    <mergeCell ref="B36:K36"/>
    <mergeCell ref="B42:K42"/>
    <mergeCell ref="I5:K5"/>
    <mergeCell ref="K15:K17"/>
    <mergeCell ref="H6:K6"/>
    <mergeCell ref="A13:K13"/>
    <mergeCell ref="H7:K7"/>
    <mergeCell ref="H8:K8"/>
    <mergeCell ref="H9:K9"/>
    <mergeCell ref="H10:K10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6" r:id="rId1"/>
  <rowBreaks count="15" manualBreakCount="15">
    <brk id="47" max="10" man="1"/>
    <brk id="87" max="10" man="1"/>
    <brk id="120" max="10" man="1"/>
    <brk id="155" max="10" man="1"/>
    <brk id="181" max="10" man="1"/>
    <brk id="218" max="10" man="1"/>
    <brk id="247" max="10" man="1"/>
    <brk id="273" max="10" man="1"/>
    <brk id="304" max="10" man="1"/>
    <brk id="335" max="10" man="1"/>
    <brk id="362" max="10" man="1"/>
    <brk id="387" max="10" man="1"/>
    <brk id="407" max="10" man="1"/>
    <brk id="423" max="10" man="1"/>
    <brk id="4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7.00390625" style="128" customWidth="1"/>
    <col min="2" max="2" width="40.00390625" style="131" customWidth="1"/>
    <col min="3" max="3" width="16.25390625" style="0" customWidth="1"/>
    <col min="4" max="4" width="15.25390625" style="0" customWidth="1"/>
    <col min="5" max="5" width="12.75390625" style="0" customWidth="1"/>
    <col min="6" max="7" width="11.125" style="0" customWidth="1"/>
    <col min="8" max="8" width="12.625" style="0" customWidth="1"/>
    <col min="9" max="16" width="11.125" style="0" customWidth="1"/>
  </cols>
  <sheetData>
    <row r="1" spans="1:16" s="1" customFormat="1" ht="15.75">
      <c r="A1" s="98"/>
      <c r="B1" s="2"/>
      <c r="C1" s="107"/>
      <c r="G1" s="82"/>
      <c r="H1" s="82"/>
      <c r="I1" s="82"/>
      <c r="J1" s="415" t="s">
        <v>666</v>
      </c>
      <c r="K1" s="415"/>
      <c r="L1" s="415"/>
      <c r="M1" s="415"/>
      <c r="N1" s="415"/>
      <c r="O1" s="415"/>
      <c r="P1" s="415"/>
    </row>
    <row r="2" spans="1:16" s="1" customFormat="1" ht="15.75">
      <c r="A2" s="98"/>
      <c r="B2" s="81"/>
      <c r="C2" s="108"/>
      <c r="E2" s="82"/>
      <c r="F2" s="82"/>
      <c r="G2" s="82"/>
      <c r="H2" s="82"/>
      <c r="I2" s="82"/>
      <c r="J2" s="415" t="s">
        <v>667</v>
      </c>
      <c r="K2" s="415"/>
      <c r="L2" s="415"/>
      <c r="M2" s="415"/>
      <c r="N2" s="415"/>
      <c r="O2" s="415"/>
      <c r="P2" s="415"/>
    </row>
    <row r="3" spans="1:16" s="1" customFormat="1" ht="15.75">
      <c r="A3" s="98"/>
      <c r="B3" s="81"/>
      <c r="C3" s="108"/>
      <c r="E3" s="68"/>
      <c r="F3" s="68"/>
      <c r="G3" s="68"/>
      <c r="H3" s="68"/>
      <c r="I3" s="68"/>
      <c r="J3" s="415" t="s">
        <v>668</v>
      </c>
      <c r="K3" s="415"/>
      <c r="L3" s="415"/>
      <c r="M3" s="415"/>
      <c r="N3" s="415"/>
      <c r="O3" s="415"/>
      <c r="P3" s="415"/>
    </row>
    <row r="4" spans="1:16" s="1" customFormat="1" ht="15.75">
      <c r="A4" s="98"/>
      <c r="B4" s="81"/>
      <c r="C4" s="108"/>
      <c r="D4" s="161"/>
      <c r="E4" s="68"/>
      <c r="F4" s="68"/>
      <c r="G4" s="68"/>
      <c r="H4" s="68"/>
      <c r="I4" s="68"/>
      <c r="J4" s="415" t="s">
        <v>642</v>
      </c>
      <c r="K4" s="415"/>
      <c r="L4" s="415"/>
      <c r="M4" s="415"/>
      <c r="N4" s="415"/>
      <c r="O4" s="415"/>
      <c r="P4" s="415"/>
    </row>
    <row r="5" spans="1:16" s="1" customFormat="1" ht="15.75">
      <c r="A5" s="98"/>
      <c r="B5" s="81"/>
      <c r="C5" s="108"/>
      <c r="E5" s="68"/>
      <c r="F5" s="68"/>
      <c r="G5" s="68"/>
      <c r="H5" s="68"/>
      <c r="I5" s="127"/>
      <c r="J5" s="415" t="s">
        <v>669</v>
      </c>
      <c r="K5" s="415"/>
      <c r="L5" s="415"/>
      <c r="M5" s="415"/>
      <c r="N5" s="415"/>
      <c r="O5" s="415"/>
      <c r="P5" s="415"/>
    </row>
    <row r="6" spans="1:16" s="1" customFormat="1" ht="15.75">
      <c r="A6" s="98"/>
      <c r="B6" s="81"/>
      <c r="C6" s="108"/>
      <c r="D6" s="161"/>
      <c r="E6" s="68"/>
      <c r="F6" s="68"/>
      <c r="G6" s="68"/>
      <c r="H6" s="127"/>
      <c r="I6" s="127"/>
      <c r="J6" s="415" t="s">
        <v>670</v>
      </c>
      <c r="K6" s="415"/>
      <c r="L6" s="415"/>
      <c r="M6" s="415"/>
      <c r="N6" s="415"/>
      <c r="O6" s="415"/>
      <c r="P6" s="415"/>
    </row>
    <row r="7" spans="2:17" s="1" customFormat="1" ht="15">
      <c r="B7" s="2"/>
      <c r="D7" s="82"/>
      <c r="E7" s="82"/>
      <c r="F7" s="82"/>
      <c r="I7" s="148"/>
      <c r="J7" s="148"/>
      <c r="K7" s="148"/>
      <c r="L7" s="148"/>
      <c r="M7" s="148"/>
      <c r="N7" s="148"/>
      <c r="O7" s="148"/>
      <c r="P7" s="148"/>
      <c r="Q7" s="125"/>
    </row>
    <row r="8" spans="2:16" s="126" customFormat="1" ht="12.75">
      <c r="B8" s="105"/>
      <c r="D8" s="127"/>
      <c r="E8" s="127"/>
      <c r="F8" s="127"/>
      <c r="I8" s="127"/>
      <c r="J8" s="127"/>
      <c r="K8" s="127"/>
      <c r="L8" s="127"/>
      <c r="M8" s="127"/>
      <c r="N8" s="127"/>
      <c r="O8" s="127"/>
      <c r="P8" s="127"/>
    </row>
    <row r="9" spans="1:2" s="1" customFormat="1" ht="15">
      <c r="A9" s="128"/>
      <c r="B9" s="2"/>
    </row>
    <row r="10" spans="1:16" s="1" customFormat="1" ht="15.75">
      <c r="A10" s="419" t="s">
        <v>281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</row>
    <row r="11" spans="1:16" s="1" customFormat="1" ht="15.75">
      <c r="A11" s="419" t="s">
        <v>643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</row>
    <row r="12" spans="1:16" s="1" customFormat="1" ht="15.75">
      <c r="A12" s="419" t="s">
        <v>644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</row>
    <row r="13" spans="1:2" s="1" customFormat="1" ht="15">
      <c r="A13" s="128"/>
      <c r="B13" s="2"/>
    </row>
    <row r="14" spans="1:16" s="3" customFormat="1" ht="35.25" customHeight="1">
      <c r="A14" s="416" t="s">
        <v>285</v>
      </c>
      <c r="B14" s="416" t="s">
        <v>656</v>
      </c>
      <c r="C14" s="446" t="s">
        <v>646</v>
      </c>
      <c r="D14" s="446" t="s">
        <v>648</v>
      </c>
      <c r="E14" s="347" t="s">
        <v>650</v>
      </c>
      <c r="F14" s="347"/>
      <c r="G14" s="449" t="s">
        <v>653</v>
      </c>
      <c r="H14" s="450"/>
      <c r="I14" s="441" t="s">
        <v>392</v>
      </c>
      <c r="J14" s="442"/>
      <c r="K14" s="442"/>
      <c r="L14" s="442"/>
      <c r="M14" s="442"/>
      <c r="N14" s="442"/>
      <c r="O14" s="442"/>
      <c r="P14" s="443"/>
    </row>
    <row r="15" spans="1:16" s="3" customFormat="1" ht="35.25" customHeight="1">
      <c r="A15" s="417"/>
      <c r="B15" s="417"/>
      <c r="C15" s="447"/>
      <c r="D15" s="447"/>
      <c r="E15" s="348" t="s">
        <v>651</v>
      </c>
      <c r="F15" s="348" t="s">
        <v>652</v>
      </c>
      <c r="G15" s="451"/>
      <c r="H15" s="452"/>
      <c r="I15" s="444" t="s">
        <v>287</v>
      </c>
      <c r="J15" s="136" t="s">
        <v>395</v>
      </c>
      <c r="K15" s="136" t="s">
        <v>396</v>
      </c>
      <c r="L15" s="136" t="s">
        <v>397</v>
      </c>
      <c r="M15" s="136" t="s">
        <v>398</v>
      </c>
      <c r="N15" s="136" t="s">
        <v>399</v>
      </c>
      <c r="O15" s="136" t="s">
        <v>400</v>
      </c>
      <c r="P15" s="136" t="s">
        <v>401</v>
      </c>
    </row>
    <row r="16" spans="1:16" s="3" customFormat="1" ht="30.75" customHeight="1">
      <c r="A16" s="418"/>
      <c r="B16" s="418"/>
      <c r="C16" s="448"/>
      <c r="D16" s="448"/>
      <c r="E16" s="445"/>
      <c r="F16" s="445"/>
      <c r="G16" s="135" t="s">
        <v>654</v>
      </c>
      <c r="H16" s="129" t="s">
        <v>655</v>
      </c>
      <c r="I16" s="444"/>
      <c r="J16" s="4">
        <v>2014</v>
      </c>
      <c r="K16" s="4">
        <v>2015</v>
      </c>
      <c r="L16" s="4">
        <v>2016</v>
      </c>
      <c r="M16" s="4">
        <v>2017</v>
      </c>
      <c r="N16" s="4">
        <v>2018</v>
      </c>
      <c r="O16" s="4">
        <v>2019</v>
      </c>
      <c r="P16" s="4">
        <v>2020</v>
      </c>
    </row>
    <row r="17" spans="1:16" s="126" customFormat="1" ht="15" customHeight="1">
      <c r="A17" s="130">
        <v>1</v>
      </c>
      <c r="B17" s="130">
        <v>2</v>
      </c>
      <c r="C17" s="129">
        <v>3</v>
      </c>
      <c r="D17" s="129">
        <v>4</v>
      </c>
      <c r="E17" s="129">
        <v>5</v>
      </c>
      <c r="F17" s="129">
        <v>6</v>
      </c>
      <c r="G17" s="129">
        <v>7</v>
      </c>
      <c r="H17" s="129">
        <v>8</v>
      </c>
      <c r="I17" s="129">
        <v>9</v>
      </c>
      <c r="J17" s="129">
        <v>10</v>
      </c>
      <c r="K17" s="129">
        <v>11</v>
      </c>
      <c r="L17" s="129">
        <v>12</v>
      </c>
      <c r="M17" s="129">
        <v>13</v>
      </c>
      <c r="N17" s="129">
        <v>14</v>
      </c>
      <c r="O17" s="129">
        <v>15</v>
      </c>
      <c r="P17" s="129">
        <v>16</v>
      </c>
    </row>
    <row r="18" spans="1:16" s="23" customFormat="1" ht="48.75" customHeight="1">
      <c r="A18" s="137">
        <v>1</v>
      </c>
      <c r="B18" s="138" t="s">
        <v>660</v>
      </c>
      <c r="C18" s="139" t="s">
        <v>659</v>
      </c>
      <c r="D18" s="139" t="s">
        <v>649</v>
      </c>
      <c r="E18" s="141">
        <v>54000</v>
      </c>
      <c r="F18" s="141">
        <v>54000</v>
      </c>
      <c r="G18" s="145" t="s">
        <v>657</v>
      </c>
      <c r="H18" s="145" t="s">
        <v>658</v>
      </c>
      <c r="I18" s="141"/>
      <c r="J18" s="141"/>
      <c r="K18" s="141"/>
      <c r="L18" s="141"/>
      <c r="M18" s="141"/>
      <c r="N18" s="141"/>
      <c r="O18" s="141"/>
      <c r="P18" s="141"/>
    </row>
    <row r="19" spans="1:16" s="25" customFormat="1" ht="28.5" customHeight="1">
      <c r="A19" s="132">
        <v>2</v>
      </c>
      <c r="B19" s="133" t="s">
        <v>645</v>
      </c>
      <c r="C19" s="16"/>
      <c r="D19" s="16"/>
      <c r="E19" s="142"/>
      <c r="F19" s="141"/>
      <c r="G19" s="146"/>
      <c r="H19" s="147"/>
      <c r="I19" s="140">
        <f>SUM(I20:I22)</f>
        <v>49099.1</v>
      </c>
      <c r="J19" s="140">
        <f aca="true" t="shared" si="0" ref="J19:P19">SUM(J20:J22)</f>
        <v>49099.1</v>
      </c>
      <c r="K19" s="140">
        <f t="shared" si="0"/>
        <v>0</v>
      </c>
      <c r="L19" s="140">
        <f t="shared" si="0"/>
        <v>0</v>
      </c>
      <c r="M19" s="140">
        <f t="shared" si="0"/>
        <v>0</v>
      </c>
      <c r="N19" s="140">
        <f t="shared" si="0"/>
        <v>0</v>
      </c>
      <c r="O19" s="140">
        <f t="shared" si="0"/>
        <v>0</v>
      </c>
      <c r="P19" s="140">
        <f t="shared" si="0"/>
        <v>0</v>
      </c>
    </row>
    <row r="20" spans="1:16" s="126" customFormat="1" ht="15.75">
      <c r="A20" s="134">
        <v>3</v>
      </c>
      <c r="B20" s="11" t="s">
        <v>289</v>
      </c>
      <c r="C20" s="16"/>
      <c r="D20" s="16"/>
      <c r="E20" s="142"/>
      <c r="F20" s="141"/>
      <c r="G20" s="146"/>
      <c r="H20" s="147"/>
      <c r="I20" s="141">
        <f>SUM(J20:P20)</f>
        <v>1737.8</v>
      </c>
      <c r="J20" s="144">
        <v>1737.8</v>
      </c>
      <c r="K20" s="141"/>
      <c r="L20" s="141"/>
      <c r="M20" s="144"/>
      <c r="N20" s="144"/>
      <c r="O20" s="144"/>
      <c r="P20" s="144"/>
    </row>
    <row r="21" spans="1:16" s="126" customFormat="1" ht="15.75">
      <c r="A21" s="134">
        <v>4</v>
      </c>
      <c r="B21" s="11" t="s">
        <v>661</v>
      </c>
      <c r="C21" s="16"/>
      <c r="D21" s="16"/>
      <c r="E21" s="142"/>
      <c r="F21" s="141"/>
      <c r="G21" s="146"/>
      <c r="H21" s="147"/>
      <c r="I21" s="141">
        <f>SUM(J21:P21)</f>
        <v>12802.1</v>
      </c>
      <c r="J21" s="144">
        <v>12802.1</v>
      </c>
      <c r="K21" s="141"/>
      <c r="L21" s="141"/>
      <c r="M21" s="144"/>
      <c r="N21" s="144"/>
      <c r="O21" s="144"/>
      <c r="P21" s="144"/>
    </row>
    <row r="22" spans="1:16" s="126" customFormat="1" ht="15.75">
      <c r="A22" s="134">
        <v>5</v>
      </c>
      <c r="B22" s="11" t="s">
        <v>291</v>
      </c>
      <c r="C22" s="16"/>
      <c r="D22" s="16"/>
      <c r="E22" s="142"/>
      <c r="F22" s="141"/>
      <c r="G22" s="146"/>
      <c r="H22" s="147"/>
      <c r="I22" s="141">
        <f>SUM(J22:P22)</f>
        <v>34559.2</v>
      </c>
      <c r="J22" s="144">
        <v>34559.2</v>
      </c>
      <c r="K22" s="141"/>
      <c r="L22" s="141"/>
      <c r="M22" s="144"/>
      <c r="N22" s="144"/>
      <c r="O22" s="144"/>
      <c r="P22" s="144"/>
    </row>
    <row r="23" spans="1:16" s="126" customFormat="1" ht="15.75">
      <c r="A23" s="134"/>
      <c r="B23" s="11"/>
      <c r="C23" s="16"/>
      <c r="D23" s="16"/>
      <c r="E23" s="142"/>
      <c r="F23" s="141"/>
      <c r="G23" s="146"/>
      <c r="H23" s="147"/>
      <c r="I23" s="141"/>
      <c r="J23" s="144"/>
      <c r="K23" s="141"/>
      <c r="L23" s="141"/>
      <c r="M23" s="144"/>
      <c r="N23" s="144"/>
      <c r="O23" s="144"/>
      <c r="P23" s="144"/>
    </row>
    <row r="24" spans="1:16" s="23" customFormat="1" ht="30">
      <c r="A24" s="137">
        <v>6</v>
      </c>
      <c r="B24" s="138" t="s">
        <v>179</v>
      </c>
      <c r="C24" s="139" t="s">
        <v>157</v>
      </c>
      <c r="D24" s="139" t="s">
        <v>649</v>
      </c>
      <c r="E24" s="141"/>
      <c r="F24" s="141"/>
      <c r="G24" s="145" t="s">
        <v>181</v>
      </c>
      <c r="H24" s="145" t="s">
        <v>180</v>
      </c>
      <c r="I24" s="141"/>
      <c r="J24" s="141"/>
      <c r="K24" s="141"/>
      <c r="L24" s="141"/>
      <c r="M24" s="141"/>
      <c r="N24" s="141"/>
      <c r="O24" s="141"/>
      <c r="P24" s="141"/>
    </row>
    <row r="25" spans="1:16" s="25" customFormat="1" ht="28.5" customHeight="1">
      <c r="A25" s="132">
        <v>7</v>
      </c>
      <c r="B25" s="133" t="s">
        <v>662</v>
      </c>
      <c r="C25" s="16"/>
      <c r="D25" s="16"/>
      <c r="E25" s="142"/>
      <c r="F25" s="141"/>
      <c r="G25" s="141"/>
      <c r="H25" s="143"/>
      <c r="I25" s="342">
        <f aca="true" t="shared" si="1" ref="I25:P25">SUM(I26:I26)</f>
        <v>8000</v>
      </c>
      <c r="J25" s="140">
        <f t="shared" si="1"/>
        <v>0</v>
      </c>
      <c r="K25" s="140">
        <f t="shared" si="1"/>
        <v>0</v>
      </c>
      <c r="L25" s="140">
        <f t="shared" si="1"/>
        <v>0</v>
      </c>
      <c r="M25" s="204">
        <f t="shared" si="1"/>
        <v>8000</v>
      </c>
      <c r="N25" s="140">
        <f t="shared" si="1"/>
        <v>0</v>
      </c>
      <c r="O25" s="140">
        <f t="shared" si="1"/>
        <v>0</v>
      </c>
      <c r="P25" s="140">
        <f t="shared" si="1"/>
        <v>0</v>
      </c>
    </row>
    <row r="26" spans="1:16" s="126" customFormat="1" ht="15.75">
      <c r="A26" s="134">
        <v>8</v>
      </c>
      <c r="B26" s="11" t="s">
        <v>289</v>
      </c>
      <c r="C26" s="16"/>
      <c r="D26" s="16"/>
      <c r="E26" s="142"/>
      <c r="F26" s="141"/>
      <c r="G26" s="141"/>
      <c r="H26" s="143"/>
      <c r="I26" s="343">
        <f>SUM(J26:P26)</f>
        <v>8000</v>
      </c>
      <c r="J26" s="144"/>
      <c r="K26" s="141"/>
      <c r="L26" s="141"/>
      <c r="M26" s="327">
        <v>8000</v>
      </c>
      <c r="N26" s="144"/>
      <c r="O26" s="144"/>
      <c r="P26" s="144"/>
    </row>
    <row r="30" ht="12.75">
      <c r="B30" s="131" t="s">
        <v>647</v>
      </c>
    </row>
  </sheetData>
  <sheetProtection/>
  <mergeCells count="19">
    <mergeCell ref="A10:P10"/>
    <mergeCell ref="A11:P11"/>
    <mergeCell ref="D14:D16"/>
    <mergeCell ref="J1:P1"/>
    <mergeCell ref="J2:P2"/>
    <mergeCell ref="J3:P3"/>
    <mergeCell ref="J4:P4"/>
    <mergeCell ref="J5:P5"/>
    <mergeCell ref="J6:P6"/>
    <mergeCell ref="A12:P12"/>
    <mergeCell ref="A14:A16"/>
    <mergeCell ref="B14:B16"/>
    <mergeCell ref="C14:C16"/>
    <mergeCell ref="G14:H15"/>
    <mergeCell ref="I14:P14"/>
    <mergeCell ref="I15:I16"/>
    <mergeCell ref="E14:F14"/>
    <mergeCell ref="E15:E16"/>
    <mergeCell ref="F15:F16"/>
  </mergeCells>
  <printOptions/>
  <pageMargins left="0.5905511811023623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62"/>
  <sheetViews>
    <sheetView tabSelected="1" view="pageBreakPreview" zoomScale="84" zoomScaleNormal="84" zoomScaleSheetLayoutView="84" zoomScalePageLayoutView="0" workbookViewId="0" topLeftCell="A1">
      <pane xSplit="2" ySplit="13" topLeftCell="J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S261" sqref="S261"/>
    </sheetView>
  </sheetViews>
  <sheetFormatPr defaultColWidth="9.00390625" defaultRowHeight="12.75"/>
  <cols>
    <col min="1" max="1" width="7.00390625" style="162" customWidth="1"/>
    <col min="2" max="2" width="49.625" style="105" customWidth="1"/>
    <col min="3" max="3" width="41.375" style="182" customWidth="1"/>
    <col min="4" max="4" width="15.75390625" style="245" customWidth="1"/>
    <col min="5" max="5" width="15.75390625" style="253" customWidth="1"/>
    <col min="6" max="6" width="16.25390625" style="0" customWidth="1"/>
    <col min="7" max="7" width="16.25390625" style="245" customWidth="1"/>
    <col min="8" max="8" width="16.25390625" style="253" customWidth="1"/>
    <col min="9" max="9" width="14.75390625" style="0" customWidth="1"/>
    <col min="10" max="10" width="16.125" style="245" customWidth="1"/>
    <col min="11" max="11" width="16.00390625" style="253" customWidth="1"/>
    <col min="12" max="12" width="16.125" style="0" customWidth="1"/>
    <col min="13" max="13" width="14.375" style="245" customWidth="1"/>
    <col min="14" max="14" width="14.375" style="253" customWidth="1"/>
    <col min="15" max="15" width="14.75390625" style="0" customWidth="1"/>
    <col min="16" max="16" width="15.375" style="245" customWidth="1"/>
    <col min="17" max="17" width="16.875" style="253" customWidth="1"/>
    <col min="18" max="18" width="16.125" style="0" customWidth="1"/>
    <col min="19" max="19" width="13.875" style="245" customWidth="1"/>
    <col min="20" max="20" width="13.875" style="253" customWidth="1"/>
    <col min="21" max="21" width="14.75390625" style="0" customWidth="1"/>
    <col min="22" max="22" width="14.125" style="245" customWidth="1"/>
    <col min="23" max="23" width="15.25390625" style="253" customWidth="1"/>
    <col min="24" max="24" width="16.125" style="0" customWidth="1"/>
  </cols>
  <sheetData>
    <row r="1" spans="1:24" s="1" customFormat="1" ht="15">
      <c r="A1" s="162"/>
      <c r="D1" s="2"/>
      <c r="E1" s="170"/>
      <c r="G1" s="241"/>
      <c r="H1" s="249"/>
      <c r="I1" s="415"/>
      <c r="J1" s="415"/>
      <c r="K1" s="415"/>
      <c r="L1" s="415"/>
      <c r="M1" s="241"/>
      <c r="N1" s="249"/>
      <c r="O1" s="127"/>
      <c r="P1" s="289"/>
      <c r="Q1" s="291"/>
      <c r="R1" s="127"/>
      <c r="S1" s="241"/>
      <c r="T1" s="249"/>
      <c r="U1" s="127"/>
      <c r="V1" s="289"/>
      <c r="W1" s="291"/>
      <c r="X1" s="127"/>
    </row>
    <row r="2" spans="1:24" s="1" customFormat="1" ht="15">
      <c r="A2" s="162"/>
      <c r="B2" s="81" t="s">
        <v>149</v>
      </c>
      <c r="C2" s="174"/>
      <c r="D2" s="241"/>
      <c r="E2" s="249"/>
      <c r="F2" s="82"/>
      <c r="G2" s="241"/>
      <c r="H2" s="257"/>
      <c r="I2" s="459"/>
      <c r="J2" s="459"/>
      <c r="K2" s="459"/>
      <c r="L2" s="459"/>
      <c r="M2" s="241"/>
      <c r="N2" s="257"/>
      <c r="O2" s="228"/>
      <c r="P2" s="290"/>
      <c r="Q2" s="292"/>
      <c r="R2" s="228"/>
      <c r="S2" s="241"/>
      <c r="T2" s="257"/>
      <c r="U2" s="228"/>
      <c r="V2" s="290"/>
      <c r="W2" s="292"/>
      <c r="X2" s="228"/>
    </row>
    <row r="3" spans="1:24" s="1" customFormat="1" ht="15">
      <c r="A3" s="162"/>
      <c r="B3" s="81"/>
      <c r="C3" s="174"/>
      <c r="D3" s="241"/>
      <c r="E3" s="249"/>
      <c r="F3" s="68"/>
      <c r="G3" s="241"/>
      <c r="H3" s="258"/>
      <c r="I3" s="415"/>
      <c r="J3" s="415"/>
      <c r="K3" s="415"/>
      <c r="L3" s="415"/>
      <c r="M3" s="241"/>
      <c r="N3" s="258"/>
      <c r="O3" s="127"/>
      <c r="P3" s="289"/>
      <c r="Q3" s="291"/>
      <c r="R3" s="127"/>
      <c r="S3" s="241"/>
      <c r="T3" s="258"/>
      <c r="U3" s="127"/>
      <c r="V3" s="289"/>
      <c r="W3" s="291"/>
      <c r="X3" s="127"/>
    </row>
    <row r="4" spans="1:24" s="1" customFormat="1" ht="15">
      <c r="A4" s="162"/>
      <c r="B4" s="81"/>
      <c r="C4" s="174"/>
      <c r="D4" s="242"/>
      <c r="E4" s="250"/>
      <c r="F4" s="68"/>
      <c r="G4" s="242"/>
      <c r="H4" s="258"/>
      <c r="I4" s="415"/>
      <c r="J4" s="415"/>
      <c r="K4" s="415"/>
      <c r="L4" s="415"/>
      <c r="M4" s="242"/>
      <c r="N4" s="258"/>
      <c r="O4" s="127"/>
      <c r="P4" s="289"/>
      <c r="Q4" s="291"/>
      <c r="R4" s="127"/>
      <c r="S4" s="242"/>
      <c r="T4" s="258"/>
      <c r="U4" s="127"/>
      <c r="V4" s="289"/>
      <c r="W4" s="291"/>
      <c r="X4" s="127"/>
    </row>
    <row r="5" spans="1:23" s="1" customFormat="1" ht="15.75">
      <c r="A5" s="227"/>
      <c r="B5" s="227"/>
      <c r="C5" s="419" t="s">
        <v>175</v>
      </c>
      <c r="D5" s="419"/>
      <c r="E5" s="419"/>
      <c r="F5" s="419"/>
      <c r="G5" s="419"/>
      <c r="H5" s="419"/>
      <c r="I5" s="419"/>
      <c r="J5" s="419"/>
      <c r="K5" s="419"/>
      <c r="L5" s="419"/>
      <c r="M5" s="241"/>
      <c r="N5" s="249"/>
      <c r="P5" s="241"/>
      <c r="Q5" s="249"/>
      <c r="S5" s="241"/>
      <c r="T5" s="249"/>
      <c r="V5" s="241"/>
      <c r="W5" s="249"/>
    </row>
    <row r="6" spans="1:23" s="1" customFormat="1" ht="15">
      <c r="A6" s="82"/>
      <c r="B6" s="82"/>
      <c r="C6" s="460" t="s">
        <v>176</v>
      </c>
      <c r="D6" s="460"/>
      <c r="E6" s="460"/>
      <c r="F6" s="460"/>
      <c r="G6" s="460"/>
      <c r="H6" s="460"/>
      <c r="I6" s="460"/>
      <c r="J6" s="460"/>
      <c r="K6" s="460"/>
      <c r="L6" s="460"/>
      <c r="M6" s="241"/>
      <c r="N6" s="249"/>
      <c r="P6" s="241"/>
      <c r="Q6" s="249"/>
      <c r="S6" s="241"/>
      <c r="T6" s="249"/>
      <c r="V6" s="241"/>
      <c r="W6" s="249"/>
    </row>
    <row r="7" spans="1:23" s="1" customFormat="1" ht="15">
      <c r="A7" s="82"/>
      <c r="B7" s="82"/>
      <c r="C7" s="460" t="s">
        <v>18</v>
      </c>
      <c r="D7" s="460"/>
      <c r="E7" s="460"/>
      <c r="F7" s="460"/>
      <c r="G7" s="460"/>
      <c r="H7" s="460"/>
      <c r="I7" s="460"/>
      <c r="J7" s="460"/>
      <c r="K7" s="460"/>
      <c r="L7" s="460"/>
      <c r="M7" s="241"/>
      <c r="N7" s="249"/>
      <c r="P7" s="241"/>
      <c r="Q7" s="249"/>
      <c r="S7" s="241"/>
      <c r="T7" s="249"/>
      <c r="V7" s="241"/>
      <c r="W7" s="249"/>
    </row>
    <row r="8" spans="1:23" s="1" customFormat="1" ht="15">
      <c r="A8" s="82"/>
      <c r="B8" s="82"/>
      <c r="C8" s="460" t="s">
        <v>362</v>
      </c>
      <c r="D8" s="460"/>
      <c r="E8" s="460"/>
      <c r="F8" s="460"/>
      <c r="G8" s="460"/>
      <c r="H8" s="460"/>
      <c r="I8" s="460"/>
      <c r="J8" s="460"/>
      <c r="K8" s="460"/>
      <c r="L8" s="460"/>
      <c r="M8" s="241"/>
      <c r="N8" s="249"/>
      <c r="P8" s="241"/>
      <c r="Q8" s="249"/>
      <c r="S8" s="241"/>
      <c r="T8" s="249"/>
      <c r="V8" s="241"/>
      <c r="W8" s="249"/>
    </row>
    <row r="9" spans="1:23" s="1" customFormat="1" ht="15">
      <c r="A9" s="229"/>
      <c r="B9" s="229"/>
      <c r="C9" s="229"/>
      <c r="D9" s="243"/>
      <c r="E9" s="251"/>
      <c r="F9" s="229"/>
      <c r="G9" s="243"/>
      <c r="H9" s="251"/>
      <c r="I9" s="229"/>
      <c r="J9" s="243"/>
      <c r="K9" s="251"/>
      <c r="L9" s="229"/>
      <c r="M9" s="241"/>
      <c r="N9" s="249"/>
      <c r="P9" s="241"/>
      <c r="Q9" s="249"/>
      <c r="S9" s="241"/>
      <c r="T9" s="249"/>
      <c r="V9" s="241"/>
      <c r="W9" s="249"/>
    </row>
    <row r="10" spans="1:24" s="1" customFormat="1" ht="15">
      <c r="A10" s="453" t="s">
        <v>19</v>
      </c>
      <c r="B10" s="454" t="s">
        <v>20</v>
      </c>
      <c r="C10" s="454" t="s">
        <v>276</v>
      </c>
      <c r="D10" s="347" t="s">
        <v>21</v>
      </c>
      <c r="E10" s="347"/>
      <c r="F10" s="347"/>
      <c r="G10" s="455" t="s">
        <v>174</v>
      </c>
      <c r="H10" s="456"/>
      <c r="I10" s="456"/>
      <c r="J10" s="456"/>
      <c r="K10" s="456"/>
      <c r="L10" s="457"/>
      <c r="M10" s="455" t="s">
        <v>177</v>
      </c>
      <c r="N10" s="456"/>
      <c r="O10" s="456"/>
      <c r="P10" s="456"/>
      <c r="Q10" s="456"/>
      <c r="R10" s="457"/>
      <c r="S10" s="455" t="s">
        <v>178</v>
      </c>
      <c r="T10" s="456"/>
      <c r="U10" s="456"/>
      <c r="V10" s="456"/>
      <c r="W10" s="456"/>
      <c r="X10" s="457"/>
    </row>
    <row r="11" spans="1:24" s="3" customFormat="1" ht="27.75" customHeight="1">
      <c r="A11" s="453"/>
      <c r="B11" s="454"/>
      <c r="C11" s="454"/>
      <c r="D11" s="347"/>
      <c r="E11" s="347"/>
      <c r="F11" s="347"/>
      <c r="G11" s="458" t="s">
        <v>26</v>
      </c>
      <c r="H11" s="458"/>
      <c r="I11" s="458"/>
      <c r="J11" s="458" t="s">
        <v>27</v>
      </c>
      <c r="K11" s="458"/>
      <c r="L11" s="458"/>
      <c r="M11" s="458" t="s">
        <v>26</v>
      </c>
      <c r="N11" s="458"/>
      <c r="O11" s="458"/>
      <c r="P11" s="458" t="s">
        <v>27</v>
      </c>
      <c r="Q11" s="458"/>
      <c r="R11" s="458"/>
      <c r="S11" s="458" t="s">
        <v>26</v>
      </c>
      <c r="T11" s="458"/>
      <c r="U11" s="458"/>
      <c r="V11" s="458" t="s">
        <v>27</v>
      </c>
      <c r="W11" s="458"/>
      <c r="X11" s="458"/>
    </row>
    <row r="12" spans="1:24" s="3" customFormat="1" ht="82.5" customHeight="1">
      <c r="A12" s="453"/>
      <c r="B12" s="454"/>
      <c r="C12" s="454"/>
      <c r="D12" s="346" t="s">
        <v>22</v>
      </c>
      <c r="E12" s="346" t="s">
        <v>23</v>
      </c>
      <c r="F12" s="349" t="s">
        <v>24</v>
      </c>
      <c r="G12" s="350" t="s">
        <v>22</v>
      </c>
      <c r="H12" s="350" t="s">
        <v>23</v>
      </c>
      <c r="I12" s="349" t="s">
        <v>24</v>
      </c>
      <c r="J12" s="350" t="s">
        <v>28</v>
      </c>
      <c r="K12" s="350" t="s">
        <v>29</v>
      </c>
      <c r="L12" s="349" t="s">
        <v>38</v>
      </c>
      <c r="M12" s="350" t="s">
        <v>22</v>
      </c>
      <c r="N12" s="350" t="s">
        <v>23</v>
      </c>
      <c r="O12" s="349" t="s">
        <v>24</v>
      </c>
      <c r="P12" s="350" t="s">
        <v>28</v>
      </c>
      <c r="Q12" s="350" t="s">
        <v>29</v>
      </c>
      <c r="R12" s="349" t="s">
        <v>38</v>
      </c>
      <c r="S12" s="350" t="s">
        <v>22</v>
      </c>
      <c r="T12" s="350" t="s">
        <v>23</v>
      </c>
      <c r="U12" s="349" t="s">
        <v>24</v>
      </c>
      <c r="V12" s="350" t="s">
        <v>28</v>
      </c>
      <c r="W12" s="350" t="s">
        <v>29</v>
      </c>
      <c r="X12" s="349" t="s">
        <v>38</v>
      </c>
    </row>
    <row r="13" spans="1:24" s="171" customFormat="1" ht="15.75" customHeight="1">
      <c r="A13" s="462" t="s">
        <v>25</v>
      </c>
      <c r="B13" s="462">
        <v>2</v>
      </c>
      <c r="C13" s="462">
        <v>3</v>
      </c>
      <c r="D13" s="463">
        <v>4</v>
      </c>
      <c r="E13" s="463">
        <v>5</v>
      </c>
      <c r="F13" s="464">
        <v>6</v>
      </c>
      <c r="G13" s="465">
        <v>7</v>
      </c>
      <c r="H13" s="465">
        <v>8</v>
      </c>
      <c r="I13" s="466">
        <v>9</v>
      </c>
      <c r="J13" s="467">
        <v>10</v>
      </c>
      <c r="K13" s="467">
        <v>11</v>
      </c>
      <c r="L13" s="466">
        <v>12</v>
      </c>
      <c r="M13" s="465">
        <v>13</v>
      </c>
      <c r="N13" s="465">
        <v>14</v>
      </c>
      <c r="O13" s="466">
        <v>15</v>
      </c>
      <c r="P13" s="467">
        <v>16</v>
      </c>
      <c r="Q13" s="467">
        <v>17</v>
      </c>
      <c r="R13" s="466">
        <v>18</v>
      </c>
      <c r="S13" s="465">
        <v>19</v>
      </c>
      <c r="T13" s="465">
        <v>20</v>
      </c>
      <c r="U13" s="466">
        <v>21</v>
      </c>
      <c r="V13" s="467">
        <v>22</v>
      </c>
      <c r="W13" s="467">
        <v>23</v>
      </c>
      <c r="X13" s="466">
        <v>24</v>
      </c>
    </row>
    <row r="14" spans="1:24" s="23" customFormat="1" ht="30" customHeight="1">
      <c r="A14" s="163">
        <v>1</v>
      </c>
      <c r="B14" s="47" t="s">
        <v>326</v>
      </c>
      <c r="C14" s="175"/>
      <c r="D14" s="328">
        <f aca="true" t="shared" si="0" ref="D14:I14">SUM(D15:D18)</f>
        <v>5149254.717660001</v>
      </c>
      <c r="E14" s="328">
        <f t="shared" si="0"/>
        <v>3660895.41766</v>
      </c>
      <c r="F14" s="296">
        <f t="shared" si="0"/>
        <v>-1488359.2999999998</v>
      </c>
      <c r="G14" s="328">
        <f t="shared" si="0"/>
        <v>324346</v>
      </c>
      <c r="H14" s="328">
        <f t="shared" si="0"/>
        <v>250506.2</v>
      </c>
      <c r="I14" s="296">
        <f t="shared" si="0"/>
        <v>-73839.8</v>
      </c>
      <c r="J14" s="351"/>
      <c r="K14" s="351"/>
      <c r="L14" s="112"/>
      <c r="M14" s="328">
        <f>SUM(M15:M18)</f>
        <v>344265</v>
      </c>
      <c r="N14" s="328">
        <f>SUM(N15:N18)</f>
        <v>247799.30000000005</v>
      </c>
      <c r="O14" s="296">
        <f>SUM(O15:O18)</f>
        <v>-96465.70000000001</v>
      </c>
      <c r="P14" s="351"/>
      <c r="Q14" s="351"/>
      <c r="R14" s="112"/>
      <c r="S14" s="328">
        <f>SUM(S15:S18)</f>
        <v>339235</v>
      </c>
      <c r="T14" s="328">
        <f>SUM(T15:T18)</f>
        <v>254631.09999999998</v>
      </c>
      <c r="U14" s="296">
        <f>SUM(U15:U18)</f>
        <v>-84603.90000000001</v>
      </c>
      <c r="V14" s="261"/>
      <c r="W14" s="276"/>
      <c r="X14" s="112"/>
    </row>
    <row r="15" spans="1:24" s="25" customFormat="1" ht="15" customHeight="1">
      <c r="A15" s="104">
        <v>2</v>
      </c>
      <c r="B15" s="5" t="s">
        <v>289</v>
      </c>
      <c r="C15" s="172"/>
      <c r="D15" s="352">
        <f aca="true" t="shared" si="1" ref="D15:I18">SUM(D21+D27)</f>
        <v>2225037.16066</v>
      </c>
      <c r="E15" s="352">
        <f t="shared" si="1"/>
        <v>1981377.76066</v>
      </c>
      <c r="F15" s="299">
        <f t="shared" si="1"/>
        <v>-243659.4</v>
      </c>
      <c r="G15" s="352">
        <f t="shared" si="1"/>
        <v>324346</v>
      </c>
      <c r="H15" s="352">
        <f t="shared" si="1"/>
        <v>250506.2</v>
      </c>
      <c r="I15" s="299">
        <f t="shared" si="1"/>
        <v>-73839.8</v>
      </c>
      <c r="J15" s="353"/>
      <c r="K15" s="353"/>
      <c r="L15" s="111"/>
      <c r="M15" s="352">
        <f>SUM(M21+M27)</f>
        <v>344265</v>
      </c>
      <c r="N15" s="352">
        <f>SUM(N21+N27)</f>
        <v>247799.30000000005</v>
      </c>
      <c r="O15" s="299">
        <f>SUM(O21+O27)</f>
        <v>-96465.70000000001</v>
      </c>
      <c r="P15" s="353"/>
      <c r="Q15" s="353"/>
      <c r="R15" s="111"/>
      <c r="S15" s="352">
        <f>SUM(S21+S27)</f>
        <v>339235</v>
      </c>
      <c r="T15" s="352">
        <f>SUM(T21+T27)</f>
        <v>254631.09999999998</v>
      </c>
      <c r="U15" s="299">
        <f>SUM(U21+U27)</f>
        <v>-84603.90000000001</v>
      </c>
      <c r="V15" s="262"/>
      <c r="W15" s="260"/>
      <c r="X15" s="111"/>
    </row>
    <row r="16" spans="1:24" s="25" customFormat="1" ht="15" customHeight="1">
      <c r="A16" s="104">
        <v>3</v>
      </c>
      <c r="B16" s="5" t="s">
        <v>290</v>
      </c>
      <c r="C16" s="172"/>
      <c r="D16" s="352">
        <f t="shared" si="1"/>
        <v>20310.906</v>
      </c>
      <c r="E16" s="352">
        <f t="shared" si="1"/>
        <v>20310.906</v>
      </c>
      <c r="F16" s="299">
        <f t="shared" si="1"/>
        <v>0</v>
      </c>
      <c r="G16" s="352">
        <f t="shared" si="1"/>
        <v>0</v>
      </c>
      <c r="H16" s="352">
        <f t="shared" si="1"/>
        <v>0</v>
      </c>
      <c r="I16" s="299">
        <f t="shared" si="1"/>
        <v>0</v>
      </c>
      <c r="J16" s="353"/>
      <c r="K16" s="353"/>
      <c r="L16" s="111"/>
      <c r="M16" s="352">
        <f>SUM(M22+M28)</f>
        <v>0</v>
      </c>
      <c r="N16" s="352">
        <f aca="true" t="shared" si="2" ref="N16:O18">SUM(N22+N28)</f>
        <v>0</v>
      </c>
      <c r="O16" s="299">
        <f>SUM(O22+O28)</f>
        <v>0</v>
      </c>
      <c r="P16" s="353"/>
      <c r="Q16" s="353"/>
      <c r="R16" s="111"/>
      <c r="S16" s="352">
        <f>SUM(S22+S28)</f>
        <v>0</v>
      </c>
      <c r="T16" s="352">
        <f aca="true" t="shared" si="3" ref="T16:U18">SUM(T22+T28)</f>
        <v>0</v>
      </c>
      <c r="U16" s="299">
        <f>SUM(U22+U28)</f>
        <v>0</v>
      </c>
      <c r="V16" s="262"/>
      <c r="W16" s="260"/>
      <c r="X16" s="111"/>
    </row>
    <row r="17" spans="1:24" s="25" customFormat="1" ht="15" customHeight="1">
      <c r="A17" s="104">
        <v>4</v>
      </c>
      <c r="B17" s="5" t="s">
        <v>291</v>
      </c>
      <c r="C17" s="172"/>
      <c r="D17" s="352">
        <f t="shared" si="1"/>
        <v>2622209.251</v>
      </c>
      <c r="E17" s="352">
        <f t="shared" si="1"/>
        <v>1502609.351</v>
      </c>
      <c r="F17" s="299">
        <f t="shared" si="1"/>
        <v>-1119599.9</v>
      </c>
      <c r="G17" s="352">
        <f t="shared" si="1"/>
        <v>0</v>
      </c>
      <c r="H17" s="352">
        <f t="shared" si="1"/>
        <v>0</v>
      </c>
      <c r="I17" s="299">
        <f t="shared" si="1"/>
        <v>0</v>
      </c>
      <c r="J17" s="353"/>
      <c r="K17" s="353"/>
      <c r="L17" s="111"/>
      <c r="M17" s="352">
        <f>SUM(M23+M29)</f>
        <v>0</v>
      </c>
      <c r="N17" s="352">
        <f t="shared" si="2"/>
        <v>0</v>
      </c>
      <c r="O17" s="299">
        <f t="shared" si="2"/>
        <v>0</v>
      </c>
      <c r="P17" s="353"/>
      <c r="Q17" s="353"/>
      <c r="R17" s="111"/>
      <c r="S17" s="352">
        <f>SUM(S23+S29)</f>
        <v>0</v>
      </c>
      <c r="T17" s="352">
        <f t="shared" si="3"/>
        <v>0</v>
      </c>
      <c r="U17" s="299">
        <f t="shared" si="3"/>
        <v>0</v>
      </c>
      <c r="V17" s="262"/>
      <c r="W17" s="260"/>
      <c r="X17" s="111"/>
    </row>
    <row r="18" spans="1:24" s="25" customFormat="1" ht="15" customHeight="1">
      <c r="A18" s="104">
        <v>5</v>
      </c>
      <c r="B18" s="5" t="s">
        <v>292</v>
      </c>
      <c r="C18" s="172"/>
      <c r="D18" s="352">
        <f t="shared" si="1"/>
        <v>281697.4</v>
      </c>
      <c r="E18" s="352">
        <f t="shared" si="1"/>
        <v>156597.4</v>
      </c>
      <c r="F18" s="299">
        <f t="shared" si="1"/>
        <v>-125100</v>
      </c>
      <c r="G18" s="352">
        <f t="shared" si="1"/>
        <v>0</v>
      </c>
      <c r="H18" s="352">
        <f t="shared" si="1"/>
        <v>0</v>
      </c>
      <c r="I18" s="299">
        <f t="shared" si="1"/>
        <v>0</v>
      </c>
      <c r="J18" s="353"/>
      <c r="K18" s="353"/>
      <c r="L18" s="111"/>
      <c r="M18" s="352">
        <f>SUM(M24+M30)</f>
        <v>0</v>
      </c>
      <c r="N18" s="352">
        <f t="shared" si="2"/>
        <v>0</v>
      </c>
      <c r="O18" s="299">
        <f t="shared" si="2"/>
        <v>0</v>
      </c>
      <c r="P18" s="353"/>
      <c r="Q18" s="353"/>
      <c r="R18" s="111"/>
      <c r="S18" s="352">
        <f>SUM(S24+S30)</f>
        <v>0</v>
      </c>
      <c r="T18" s="352">
        <f t="shared" si="3"/>
        <v>0</v>
      </c>
      <c r="U18" s="299">
        <f t="shared" si="3"/>
        <v>0</v>
      </c>
      <c r="V18" s="262"/>
      <c r="W18" s="260"/>
      <c r="X18" s="111"/>
    </row>
    <row r="19" spans="1:24" s="25" customFormat="1" ht="15" customHeight="1">
      <c r="A19" s="104"/>
      <c r="B19" s="5"/>
      <c r="C19" s="172"/>
      <c r="D19" s="354"/>
      <c r="E19" s="354"/>
      <c r="F19" s="300"/>
      <c r="G19" s="354"/>
      <c r="H19" s="354"/>
      <c r="I19" s="300"/>
      <c r="J19" s="355"/>
      <c r="K19" s="355"/>
      <c r="L19" s="149"/>
      <c r="M19" s="354"/>
      <c r="N19" s="354"/>
      <c r="O19" s="300"/>
      <c r="P19" s="355"/>
      <c r="Q19" s="355"/>
      <c r="R19" s="149"/>
      <c r="S19" s="354"/>
      <c r="T19" s="354"/>
      <c r="U19" s="300"/>
      <c r="V19" s="263"/>
      <c r="W19" s="277"/>
      <c r="X19" s="149"/>
    </row>
    <row r="20" spans="1:24" s="27" customFormat="1" ht="30" customHeight="1">
      <c r="A20" s="164">
        <v>6</v>
      </c>
      <c r="B20" s="49" t="s">
        <v>307</v>
      </c>
      <c r="C20" s="173"/>
      <c r="D20" s="356">
        <f aca="true" t="shared" si="4" ref="D20:I20">SUM(D21:D24)</f>
        <v>150955.855</v>
      </c>
      <c r="E20" s="356">
        <f t="shared" si="4"/>
        <v>156310.855</v>
      </c>
      <c r="F20" s="301">
        <f t="shared" si="4"/>
        <v>5355</v>
      </c>
      <c r="G20" s="356">
        <f t="shared" si="4"/>
        <v>18000</v>
      </c>
      <c r="H20" s="356">
        <f t="shared" si="4"/>
        <v>19505</v>
      </c>
      <c r="I20" s="301">
        <f t="shared" si="4"/>
        <v>1505</v>
      </c>
      <c r="J20" s="357"/>
      <c r="K20" s="357"/>
      <c r="L20" s="150"/>
      <c r="M20" s="356">
        <f>SUM(M21:M24)</f>
        <v>22250</v>
      </c>
      <c r="N20" s="356">
        <f>SUM(N21:N24)</f>
        <v>15000</v>
      </c>
      <c r="O20" s="301">
        <f>SUM(O21:O24)</f>
        <v>-7250</v>
      </c>
      <c r="P20" s="357"/>
      <c r="Q20" s="357"/>
      <c r="R20" s="150"/>
      <c r="S20" s="356">
        <f>SUM(S21:S24)</f>
        <v>16250</v>
      </c>
      <c r="T20" s="356">
        <f>SUM(T21:T24)</f>
        <v>16100</v>
      </c>
      <c r="U20" s="301">
        <f>SUM(U21:U24)</f>
        <v>-150</v>
      </c>
      <c r="V20" s="264"/>
      <c r="W20" s="278"/>
      <c r="X20" s="150"/>
    </row>
    <row r="21" spans="1:24" s="25" customFormat="1" ht="15" customHeight="1">
      <c r="A21" s="104">
        <v>7</v>
      </c>
      <c r="B21" s="5" t="s">
        <v>289</v>
      </c>
      <c r="C21" s="172"/>
      <c r="D21" s="358">
        <f aca="true" t="shared" si="5" ref="D21:I21">SUM(D40+D148+D303+D328+D361+D416)</f>
        <v>102844.55500000001</v>
      </c>
      <c r="E21" s="358">
        <f t="shared" si="5"/>
        <v>108199.55500000001</v>
      </c>
      <c r="F21" s="304">
        <f t="shared" si="5"/>
        <v>5355</v>
      </c>
      <c r="G21" s="358">
        <f t="shared" si="5"/>
        <v>18000</v>
      </c>
      <c r="H21" s="358">
        <f t="shared" si="5"/>
        <v>19505</v>
      </c>
      <c r="I21" s="304">
        <f t="shared" si="5"/>
        <v>1505</v>
      </c>
      <c r="J21" s="359"/>
      <c r="K21" s="359"/>
      <c r="L21" s="116"/>
      <c r="M21" s="358">
        <f>SUM(M40+M148+M303+M328+M361+M416)</f>
        <v>22250</v>
      </c>
      <c r="N21" s="358">
        <f>SUM(N40+N148+N303+N328+N361+N416)</f>
        <v>15000</v>
      </c>
      <c r="O21" s="304">
        <f>SUM(O40+O148+O303+O328+O361+O416)</f>
        <v>-7250</v>
      </c>
      <c r="P21" s="359"/>
      <c r="Q21" s="359"/>
      <c r="R21" s="116"/>
      <c r="S21" s="358">
        <f>SUM(S40+S148+S303+S328+S361+S416)</f>
        <v>16250</v>
      </c>
      <c r="T21" s="358">
        <f>SUM(T40+T148+T303+T328+T361+T416)</f>
        <v>16100</v>
      </c>
      <c r="U21" s="304">
        <f>SUM(U40+U148+U303+U328+U361+U416)</f>
        <v>-150</v>
      </c>
      <c r="V21" s="265"/>
      <c r="W21" s="279"/>
      <c r="X21" s="116"/>
    </row>
    <row r="22" spans="1:24" s="25" customFormat="1" ht="15" customHeight="1">
      <c r="A22" s="104">
        <v>8</v>
      </c>
      <c r="B22" s="5" t="s">
        <v>290</v>
      </c>
      <c r="C22" s="172"/>
      <c r="D22" s="358">
        <f aca="true" t="shared" si="6" ref="D22:I22">SUM(D41+D362)</f>
        <v>12802.1</v>
      </c>
      <c r="E22" s="358">
        <f t="shared" si="6"/>
        <v>12802.1</v>
      </c>
      <c r="F22" s="304">
        <f t="shared" si="6"/>
        <v>0</v>
      </c>
      <c r="G22" s="358">
        <f t="shared" si="6"/>
        <v>0</v>
      </c>
      <c r="H22" s="358">
        <f t="shared" si="6"/>
        <v>0</v>
      </c>
      <c r="I22" s="304">
        <f t="shared" si="6"/>
        <v>0</v>
      </c>
      <c r="J22" s="359"/>
      <c r="K22" s="359"/>
      <c r="L22" s="116"/>
      <c r="M22" s="358">
        <f>SUM(M41+M362)</f>
        <v>0</v>
      </c>
      <c r="N22" s="358">
        <f>SUM(N41+N362)</f>
        <v>0</v>
      </c>
      <c r="O22" s="304">
        <f>SUM(O41+O362)</f>
        <v>0</v>
      </c>
      <c r="P22" s="359"/>
      <c r="Q22" s="359"/>
      <c r="R22" s="116"/>
      <c r="S22" s="358">
        <f>SUM(S41+S362)</f>
        <v>0</v>
      </c>
      <c r="T22" s="358">
        <f>SUM(T41+T362)</f>
        <v>0</v>
      </c>
      <c r="U22" s="304">
        <f>SUM(U41+U362)</f>
        <v>0</v>
      </c>
      <c r="V22" s="265"/>
      <c r="W22" s="279"/>
      <c r="X22" s="116"/>
    </row>
    <row r="23" spans="1:24" s="25" customFormat="1" ht="15" customHeight="1">
      <c r="A23" s="104">
        <v>9</v>
      </c>
      <c r="B23" s="5" t="s">
        <v>291</v>
      </c>
      <c r="C23" s="172"/>
      <c r="D23" s="358">
        <f aca="true" t="shared" si="7" ref="D23:I23">SUM(D42+D299+D363)</f>
        <v>35309.2</v>
      </c>
      <c r="E23" s="358">
        <f t="shared" si="7"/>
        <v>35309.2</v>
      </c>
      <c r="F23" s="304">
        <f t="shared" si="7"/>
        <v>0</v>
      </c>
      <c r="G23" s="358">
        <f t="shared" si="7"/>
        <v>0</v>
      </c>
      <c r="H23" s="358">
        <f t="shared" si="7"/>
        <v>0</v>
      </c>
      <c r="I23" s="304">
        <f t="shared" si="7"/>
        <v>0</v>
      </c>
      <c r="J23" s="359"/>
      <c r="K23" s="359"/>
      <c r="L23" s="116"/>
      <c r="M23" s="358">
        <f>SUM(M42+M299+M363)</f>
        <v>0</v>
      </c>
      <c r="N23" s="358">
        <f>SUM(N42+N299+N363)</f>
        <v>0</v>
      </c>
      <c r="O23" s="304">
        <f>SUM(O42+O299+O363)</f>
        <v>0</v>
      </c>
      <c r="P23" s="359"/>
      <c r="Q23" s="359"/>
      <c r="R23" s="116"/>
      <c r="S23" s="358">
        <f>SUM(S42+S299+S363)</f>
        <v>0</v>
      </c>
      <c r="T23" s="358">
        <f>SUM(T42+T299+T363)</f>
        <v>0</v>
      </c>
      <c r="U23" s="304">
        <f>SUM(U42+U299+U363)</f>
        <v>0</v>
      </c>
      <c r="V23" s="265"/>
      <c r="W23" s="279"/>
      <c r="X23" s="116"/>
    </row>
    <row r="24" spans="1:24" s="25" customFormat="1" ht="15" customHeight="1">
      <c r="A24" s="104">
        <v>10</v>
      </c>
      <c r="B24" s="5" t="s">
        <v>292</v>
      </c>
      <c r="C24" s="172"/>
      <c r="D24" s="358">
        <f aca="true" t="shared" si="8" ref="D24:I24">SUM(D43)</f>
        <v>0</v>
      </c>
      <c r="E24" s="358">
        <f t="shared" si="8"/>
        <v>0</v>
      </c>
      <c r="F24" s="304">
        <f t="shared" si="8"/>
        <v>0</v>
      </c>
      <c r="G24" s="358">
        <f t="shared" si="8"/>
        <v>0</v>
      </c>
      <c r="H24" s="358">
        <f t="shared" si="8"/>
        <v>0</v>
      </c>
      <c r="I24" s="304">
        <f t="shared" si="8"/>
        <v>0</v>
      </c>
      <c r="J24" s="359"/>
      <c r="K24" s="359"/>
      <c r="L24" s="116"/>
      <c r="M24" s="358">
        <f>SUM(M43)</f>
        <v>0</v>
      </c>
      <c r="N24" s="358">
        <f>SUM(N43)</f>
        <v>0</v>
      </c>
      <c r="O24" s="304">
        <f>SUM(O43)</f>
        <v>0</v>
      </c>
      <c r="P24" s="359"/>
      <c r="Q24" s="359"/>
      <c r="R24" s="116"/>
      <c r="S24" s="358">
        <f>SUM(S43)</f>
        <v>0</v>
      </c>
      <c r="T24" s="358">
        <f>SUM(T43)</f>
        <v>0</v>
      </c>
      <c r="U24" s="304">
        <f>SUM(U43)</f>
        <v>0</v>
      </c>
      <c r="V24" s="265"/>
      <c r="W24" s="279"/>
      <c r="X24" s="116"/>
    </row>
    <row r="25" spans="1:24" s="25" customFormat="1" ht="15" customHeight="1">
      <c r="A25" s="104"/>
      <c r="B25" s="5"/>
      <c r="C25" s="172"/>
      <c r="D25" s="354"/>
      <c r="E25" s="354"/>
      <c r="F25" s="300"/>
      <c r="G25" s="354"/>
      <c r="H25" s="354"/>
      <c r="I25" s="300"/>
      <c r="J25" s="355"/>
      <c r="K25" s="355"/>
      <c r="L25" s="149"/>
      <c r="M25" s="354"/>
      <c r="N25" s="354"/>
      <c r="O25" s="300"/>
      <c r="P25" s="355"/>
      <c r="Q25" s="355"/>
      <c r="R25" s="149"/>
      <c r="S25" s="354"/>
      <c r="T25" s="354"/>
      <c r="U25" s="300"/>
      <c r="V25" s="263"/>
      <c r="W25" s="277"/>
      <c r="X25" s="149"/>
    </row>
    <row r="26" spans="1:24" s="27" customFormat="1" ht="30" customHeight="1">
      <c r="A26" s="164">
        <v>11</v>
      </c>
      <c r="B26" s="49" t="s">
        <v>363</v>
      </c>
      <c r="C26" s="173"/>
      <c r="D26" s="356">
        <f aca="true" t="shared" si="9" ref="D26:I26">SUM(D27:D30)</f>
        <v>4998298.86266</v>
      </c>
      <c r="E26" s="356">
        <f t="shared" si="9"/>
        <v>3504584.56266</v>
      </c>
      <c r="F26" s="301">
        <f t="shared" si="9"/>
        <v>-1493714.2999999998</v>
      </c>
      <c r="G26" s="356">
        <f t="shared" si="9"/>
        <v>306346</v>
      </c>
      <c r="H26" s="356">
        <f t="shared" si="9"/>
        <v>231001.2</v>
      </c>
      <c r="I26" s="301">
        <f t="shared" si="9"/>
        <v>-75344.8</v>
      </c>
      <c r="J26" s="357"/>
      <c r="K26" s="357"/>
      <c r="L26" s="150"/>
      <c r="M26" s="356">
        <f>SUM(M27:M30)</f>
        <v>322015</v>
      </c>
      <c r="N26" s="356">
        <f>SUM(N27:N30)</f>
        <v>232799.30000000005</v>
      </c>
      <c r="O26" s="301">
        <f>SUM(O27:O30)</f>
        <v>-89215.70000000001</v>
      </c>
      <c r="P26" s="357"/>
      <c r="Q26" s="357"/>
      <c r="R26" s="150"/>
      <c r="S26" s="356">
        <f>SUM(S27:S30)</f>
        <v>322985</v>
      </c>
      <c r="T26" s="356">
        <f>SUM(T27:T30)</f>
        <v>238531.09999999998</v>
      </c>
      <c r="U26" s="301">
        <f>SUM(U27:U30)</f>
        <v>-84453.90000000001</v>
      </c>
      <c r="V26" s="264"/>
      <c r="W26" s="278"/>
      <c r="X26" s="150"/>
    </row>
    <row r="27" spans="1:24" s="25" customFormat="1" ht="15" customHeight="1">
      <c r="A27" s="104">
        <v>12</v>
      </c>
      <c r="B27" s="5" t="s">
        <v>289</v>
      </c>
      <c r="C27" s="172"/>
      <c r="D27" s="358">
        <f aca="true" t="shared" si="10" ref="D27:I27">SUM(D71+D180+D312+D334+D379+D422)</f>
        <v>2122192.60566</v>
      </c>
      <c r="E27" s="358">
        <f t="shared" si="10"/>
        <v>1873178.20566</v>
      </c>
      <c r="F27" s="304">
        <f t="shared" si="10"/>
        <v>-249014.4</v>
      </c>
      <c r="G27" s="358">
        <f t="shared" si="10"/>
        <v>306346</v>
      </c>
      <c r="H27" s="358">
        <f t="shared" si="10"/>
        <v>231001.2</v>
      </c>
      <c r="I27" s="304">
        <f t="shared" si="10"/>
        <v>-75344.8</v>
      </c>
      <c r="J27" s="359"/>
      <c r="K27" s="359"/>
      <c r="L27" s="116"/>
      <c r="M27" s="358">
        <f>SUM(M71+M180+M312+M334+M379+M422)</f>
        <v>322015</v>
      </c>
      <c r="N27" s="358">
        <f>SUM(N71+N180+N312+N334+N379+N422)</f>
        <v>232799.30000000005</v>
      </c>
      <c r="O27" s="304">
        <f>SUM(O71+O180+O312+O334+O379+O422)</f>
        <v>-89215.70000000001</v>
      </c>
      <c r="P27" s="359"/>
      <c r="Q27" s="359"/>
      <c r="R27" s="116"/>
      <c r="S27" s="358">
        <f>SUM(S71+S180+S312+S334+S379+S422)</f>
        <v>322985</v>
      </c>
      <c r="T27" s="358">
        <f>SUM(T71+T180+T312+T334+T379+T422)</f>
        <v>238531.09999999998</v>
      </c>
      <c r="U27" s="304">
        <f>SUM(U71+U180+U312+U334+U379+U422)</f>
        <v>-84453.90000000001</v>
      </c>
      <c r="V27" s="265"/>
      <c r="W27" s="279"/>
      <c r="X27" s="116"/>
    </row>
    <row r="28" spans="1:24" s="25" customFormat="1" ht="15" customHeight="1">
      <c r="A28" s="104">
        <v>13</v>
      </c>
      <c r="B28" s="5" t="s">
        <v>290</v>
      </c>
      <c r="C28" s="172"/>
      <c r="D28" s="358">
        <f aca="true" t="shared" si="11" ref="D28:I28">SUM(D72+D181+D335+D423)</f>
        <v>7508.806</v>
      </c>
      <c r="E28" s="358">
        <f t="shared" si="11"/>
        <v>7508.806</v>
      </c>
      <c r="F28" s="304">
        <f t="shared" si="11"/>
        <v>0</v>
      </c>
      <c r="G28" s="358">
        <f t="shared" si="11"/>
        <v>0</v>
      </c>
      <c r="H28" s="358">
        <f t="shared" si="11"/>
        <v>0</v>
      </c>
      <c r="I28" s="304">
        <f t="shared" si="11"/>
        <v>0</v>
      </c>
      <c r="J28" s="359"/>
      <c r="K28" s="359"/>
      <c r="L28" s="116"/>
      <c r="M28" s="358">
        <f>SUM(M72+M181+M335+M423)</f>
        <v>0</v>
      </c>
      <c r="N28" s="358">
        <f>SUM(N72+N181+N335+N423)</f>
        <v>0</v>
      </c>
      <c r="O28" s="304">
        <f>SUM(O72+O181+O335+O423)</f>
        <v>0</v>
      </c>
      <c r="P28" s="359"/>
      <c r="Q28" s="359"/>
      <c r="R28" s="116"/>
      <c r="S28" s="358">
        <f>SUM(S72+S181+S335+S423)</f>
        <v>0</v>
      </c>
      <c r="T28" s="358">
        <f>SUM(T72+T181+T335+T423)</f>
        <v>0</v>
      </c>
      <c r="U28" s="304">
        <f>SUM(U72+U181+U335+U423)</f>
        <v>0</v>
      </c>
      <c r="V28" s="265"/>
      <c r="W28" s="279"/>
      <c r="X28" s="116"/>
    </row>
    <row r="29" spans="1:24" s="25" customFormat="1" ht="15" customHeight="1">
      <c r="A29" s="104">
        <v>14</v>
      </c>
      <c r="B29" s="5" t="s">
        <v>291</v>
      </c>
      <c r="C29" s="172"/>
      <c r="D29" s="358">
        <f aca="true" t="shared" si="12" ref="D29:I29">SUM(D73+D182+D294+D336+D427)</f>
        <v>2586900.051</v>
      </c>
      <c r="E29" s="358">
        <f t="shared" si="12"/>
        <v>1467300.151</v>
      </c>
      <c r="F29" s="304">
        <f t="shared" si="12"/>
        <v>-1119599.9</v>
      </c>
      <c r="G29" s="358">
        <f t="shared" si="12"/>
        <v>0</v>
      </c>
      <c r="H29" s="358">
        <f t="shared" si="12"/>
        <v>0</v>
      </c>
      <c r="I29" s="304">
        <f t="shared" si="12"/>
        <v>0</v>
      </c>
      <c r="J29" s="359"/>
      <c r="K29" s="359"/>
      <c r="L29" s="116"/>
      <c r="M29" s="358">
        <f>SUM(M73+M182+M294+M336+M427)</f>
        <v>0</v>
      </c>
      <c r="N29" s="358">
        <f>SUM(N73+N182+N294+N336+N427)</f>
        <v>0</v>
      </c>
      <c r="O29" s="304">
        <f>SUM(O73+O182+O294+O336+O427)</f>
        <v>0</v>
      </c>
      <c r="P29" s="359"/>
      <c r="Q29" s="359"/>
      <c r="R29" s="116"/>
      <c r="S29" s="358">
        <f>SUM(S73+S182+S294+S336+S427)</f>
        <v>0</v>
      </c>
      <c r="T29" s="358">
        <f>SUM(T73+T182+T294+T336+T427)</f>
        <v>0</v>
      </c>
      <c r="U29" s="304">
        <f>SUM(U73+U182+U294+U336+U427)</f>
        <v>0</v>
      </c>
      <c r="V29" s="265"/>
      <c r="W29" s="279"/>
      <c r="X29" s="116"/>
    </row>
    <row r="30" spans="1:24" s="25" customFormat="1" ht="15" customHeight="1">
      <c r="A30" s="104">
        <v>15</v>
      </c>
      <c r="B30" s="5" t="s">
        <v>292</v>
      </c>
      <c r="C30" s="172"/>
      <c r="D30" s="358">
        <f aca="true" t="shared" si="13" ref="D30:I30">SUM(D74+D183)</f>
        <v>281697.4</v>
      </c>
      <c r="E30" s="358">
        <f t="shared" si="13"/>
        <v>156597.4</v>
      </c>
      <c r="F30" s="304">
        <f t="shared" si="13"/>
        <v>-125100</v>
      </c>
      <c r="G30" s="358">
        <f t="shared" si="13"/>
        <v>0</v>
      </c>
      <c r="H30" s="358">
        <f t="shared" si="13"/>
        <v>0</v>
      </c>
      <c r="I30" s="304">
        <f t="shared" si="13"/>
        <v>0</v>
      </c>
      <c r="J30" s="359"/>
      <c r="K30" s="359"/>
      <c r="L30" s="116"/>
      <c r="M30" s="358">
        <f>SUM(M74+M183)</f>
        <v>0</v>
      </c>
      <c r="N30" s="358">
        <f>SUM(N74+N183)</f>
        <v>0</v>
      </c>
      <c r="O30" s="304">
        <f>SUM(O74+O183)</f>
        <v>0</v>
      </c>
      <c r="P30" s="359"/>
      <c r="Q30" s="359"/>
      <c r="R30" s="116"/>
      <c r="S30" s="358">
        <f>SUM(S74+S183)</f>
        <v>0</v>
      </c>
      <c r="T30" s="358">
        <f>SUM(T74+T183)</f>
        <v>0</v>
      </c>
      <c r="U30" s="304">
        <f>SUM(U74+U183)</f>
        <v>0</v>
      </c>
      <c r="V30" s="265"/>
      <c r="W30" s="279"/>
      <c r="X30" s="116"/>
    </row>
    <row r="31" spans="1:24" s="25" customFormat="1" ht="15" customHeight="1">
      <c r="A31" s="104"/>
      <c r="B31" s="24"/>
      <c r="C31" s="151"/>
      <c r="D31" s="354"/>
      <c r="E31" s="354"/>
      <c r="F31" s="300"/>
      <c r="G31" s="354"/>
      <c r="H31" s="354"/>
      <c r="I31" s="300"/>
      <c r="J31" s="355"/>
      <c r="K31" s="355"/>
      <c r="L31" s="149"/>
      <c r="M31" s="354"/>
      <c r="N31" s="354"/>
      <c r="O31" s="300"/>
      <c r="P31" s="355"/>
      <c r="Q31" s="355"/>
      <c r="R31" s="149"/>
      <c r="S31" s="354"/>
      <c r="T31" s="354"/>
      <c r="U31" s="300"/>
      <c r="V31" s="263"/>
      <c r="W31" s="277"/>
      <c r="X31" s="151"/>
    </row>
    <row r="32" spans="1:24" s="7" customFormat="1" ht="15" customHeight="1">
      <c r="A32" s="165"/>
      <c r="B32" s="230"/>
      <c r="C32" s="230"/>
      <c r="D32" s="429" t="s">
        <v>282</v>
      </c>
      <c r="E32" s="430"/>
      <c r="F32" s="430"/>
      <c r="G32" s="430"/>
      <c r="H32" s="430"/>
      <c r="I32" s="430"/>
      <c r="J32" s="430"/>
      <c r="K32" s="430"/>
      <c r="L32" s="431"/>
      <c r="M32" s="429" t="s">
        <v>282</v>
      </c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</row>
    <row r="33" spans="1:24" s="39" customFormat="1" ht="33" customHeight="1">
      <c r="A33" s="103">
        <v>16</v>
      </c>
      <c r="B33" s="43" t="s">
        <v>296</v>
      </c>
      <c r="C33" s="176"/>
      <c r="D33" s="360">
        <f aca="true" t="shared" si="14" ref="D33:I33">SUM(D34:D37)</f>
        <v>2046426.8909999998</v>
      </c>
      <c r="E33" s="360">
        <f t="shared" si="14"/>
        <v>1436409.591</v>
      </c>
      <c r="F33" s="308">
        <f t="shared" si="14"/>
        <v>-610017.3</v>
      </c>
      <c r="G33" s="360">
        <f t="shared" si="14"/>
        <v>126176</v>
      </c>
      <c r="H33" s="360">
        <f t="shared" si="14"/>
        <v>90947.7</v>
      </c>
      <c r="I33" s="308">
        <f t="shared" si="14"/>
        <v>-35228.3</v>
      </c>
      <c r="J33" s="361"/>
      <c r="K33" s="361"/>
      <c r="L33" s="115"/>
      <c r="M33" s="360">
        <f>SUM(M34:M37)</f>
        <v>126760</v>
      </c>
      <c r="N33" s="360">
        <f>SUM(N34:N37)</f>
        <v>87830</v>
      </c>
      <c r="O33" s="308">
        <f>SUM(O34:O37)</f>
        <v>-38930</v>
      </c>
      <c r="P33" s="361"/>
      <c r="Q33" s="361"/>
      <c r="R33" s="115"/>
      <c r="S33" s="360">
        <f>SUM(S34:S37)</f>
        <v>127760</v>
      </c>
      <c r="T33" s="360">
        <f>SUM(T34:T37)</f>
        <v>88830</v>
      </c>
      <c r="U33" s="308">
        <f>SUM(U34:U37)</f>
        <v>-38930</v>
      </c>
      <c r="V33" s="361"/>
      <c r="W33" s="280"/>
      <c r="X33" s="115"/>
    </row>
    <row r="34" spans="1:24" s="8" customFormat="1" ht="15" customHeight="1">
      <c r="A34" s="103">
        <v>17</v>
      </c>
      <c r="B34" s="10" t="s">
        <v>289</v>
      </c>
      <c r="C34" s="176"/>
      <c r="D34" s="358">
        <f aca="true" t="shared" si="15" ref="D34:I34">SUM(D40+D71)</f>
        <v>840570.791</v>
      </c>
      <c r="E34" s="358">
        <f t="shared" si="15"/>
        <v>727482.4909999999</v>
      </c>
      <c r="F34" s="299">
        <f t="shared" si="15"/>
        <v>-113088.30000000005</v>
      </c>
      <c r="G34" s="358">
        <f t="shared" si="15"/>
        <v>126176</v>
      </c>
      <c r="H34" s="358">
        <f t="shared" si="15"/>
        <v>90947.7</v>
      </c>
      <c r="I34" s="299">
        <f t="shared" si="15"/>
        <v>-35228.3</v>
      </c>
      <c r="J34" s="359"/>
      <c r="K34" s="359"/>
      <c r="L34" s="111"/>
      <c r="M34" s="358">
        <f>SUM(M40+M71)</f>
        <v>126760</v>
      </c>
      <c r="N34" s="358">
        <f>SUM(N40+N71)</f>
        <v>87830</v>
      </c>
      <c r="O34" s="299">
        <f>SUM(O40+O71)</f>
        <v>-38930</v>
      </c>
      <c r="P34" s="359"/>
      <c r="Q34" s="359"/>
      <c r="R34" s="111"/>
      <c r="S34" s="358">
        <f>SUM(S40+S71)</f>
        <v>127760</v>
      </c>
      <c r="T34" s="358">
        <f>SUM(T40+T71)</f>
        <v>88830</v>
      </c>
      <c r="U34" s="299">
        <f>SUM(U40+U71)</f>
        <v>-38930</v>
      </c>
      <c r="V34" s="359"/>
      <c r="W34" s="279"/>
      <c r="X34" s="111"/>
    </row>
    <row r="35" spans="1:24" s="8" customFormat="1" ht="15" customHeight="1">
      <c r="A35" s="103">
        <v>18</v>
      </c>
      <c r="B35" s="10" t="s">
        <v>290</v>
      </c>
      <c r="C35" s="176"/>
      <c r="D35" s="352">
        <f aca="true" t="shared" si="16" ref="D35:I35">SUM(D41)</f>
        <v>12802.1</v>
      </c>
      <c r="E35" s="352">
        <f t="shared" si="16"/>
        <v>12802.1</v>
      </c>
      <c r="F35" s="304">
        <f t="shared" si="16"/>
        <v>0</v>
      </c>
      <c r="G35" s="352">
        <f t="shared" si="16"/>
        <v>0</v>
      </c>
      <c r="H35" s="352">
        <f t="shared" si="16"/>
        <v>0</v>
      </c>
      <c r="I35" s="304">
        <f t="shared" si="16"/>
        <v>0</v>
      </c>
      <c r="J35" s="359"/>
      <c r="K35" s="359"/>
      <c r="L35" s="116"/>
      <c r="M35" s="352">
        <f>SUM(M41)</f>
        <v>0</v>
      </c>
      <c r="N35" s="352">
        <f>SUM(N41)</f>
        <v>0</v>
      </c>
      <c r="O35" s="304">
        <f>SUM(O41)</f>
        <v>0</v>
      </c>
      <c r="P35" s="359"/>
      <c r="Q35" s="359"/>
      <c r="R35" s="116"/>
      <c r="S35" s="352">
        <f>SUM(S41)</f>
        <v>0</v>
      </c>
      <c r="T35" s="352">
        <f>SUM(T41)</f>
        <v>0</v>
      </c>
      <c r="U35" s="304">
        <f>SUM(U41)</f>
        <v>0</v>
      </c>
      <c r="V35" s="359"/>
      <c r="W35" s="279"/>
      <c r="X35" s="116"/>
    </row>
    <row r="36" spans="1:24" s="8" customFormat="1" ht="15" customHeight="1">
      <c r="A36" s="103">
        <v>19</v>
      </c>
      <c r="B36" s="10" t="s">
        <v>291</v>
      </c>
      <c r="C36" s="176"/>
      <c r="D36" s="358">
        <f aca="true" t="shared" si="17" ref="D36:I36">SUM(D42+D73)</f>
        <v>924054</v>
      </c>
      <c r="E36" s="358">
        <f t="shared" si="17"/>
        <v>547125</v>
      </c>
      <c r="F36" s="304">
        <f t="shared" si="17"/>
        <v>-376929.00000000006</v>
      </c>
      <c r="G36" s="358">
        <f t="shared" si="17"/>
        <v>0</v>
      </c>
      <c r="H36" s="358">
        <f t="shared" si="17"/>
        <v>0</v>
      </c>
      <c r="I36" s="304">
        <f t="shared" si="17"/>
        <v>0</v>
      </c>
      <c r="J36" s="359"/>
      <c r="K36" s="359"/>
      <c r="L36" s="116"/>
      <c r="M36" s="358">
        <f>SUM(M42+M73)</f>
        <v>0</v>
      </c>
      <c r="N36" s="358">
        <f>SUM(N42+N73)</f>
        <v>0</v>
      </c>
      <c r="O36" s="304">
        <f>SUM(O42+O73)</f>
        <v>0</v>
      </c>
      <c r="P36" s="359"/>
      <c r="Q36" s="359"/>
      <c r="R36" s="116"/>
      <c r="S36" s="358">
        <f>SUM(S42+S73)</f>
        <v>0</v>
      </c>
      <c r="T36" s="358">
        <f>SUM(T42+T73)</f>
        <v>0</v>
      </c>
      <c r="U36" s="304">
        <f>SUM(U42+U73)</f>
        <v>0</v>
      </c>
      <c r="V36" s="359"/>
      <c r="W36" s="279"/>
      <c r="X36" s="116"/>
    </row>
    <row r="37" spans="1:24" s="8" customFormat="1" ht="15" customHeight="1">
      <c r="A37" s="103">
        <v>20</v>
      </c>
      <c r="B37" s="10" t="s">
        <v>292</v>
      </c>
      <c r="C37" s="176"/>
      <c r="D37" s="358">
        <f aca="true" t="shared" si="18" ref="D37:I37">SUM(D74)</f>
        <v>269000</v>
      </c>
      <c r="E37" s="358">
        <f t="shared" si="18"/>
        <v>149000</v>
      </c>
      <c r="F37" s="304">
        <f t="shared" si="18"/>
        <v>-120000</v>
      </c>
      <c r="G37" s="358">
        <f t="shared" si="18"/>
        <v>0</v>
      </c>
      <c r="H37" s="358">
        <f t="shared" si="18"/>
        <v>0</v>
      </c>
      <c r="I37" s="304">
        <f t="shared" si="18"/>
        <v>0</v>
      </c>
      <c r="J37" s="359"/>
      <c r="K37" s="359"/>
      <c r="L37" s="116"/>
      <c r="M37" s="358">
        <f>SUM(M74)</f>
        <v>0</v>
      </c>
      <c r="N37" s="358">
        <f>SUM(N74)</f>
        <v>0</v>
      </c>
      <c r="O37" s="304">
        <f>SUM(O74)</f>
        <v>0</v>
      </c>
      <c r="P37" s="359"/>
      <c r="Q37" s="359"/>
      <c r="R37" s="116"/>
      <c r="S37" s="358">
        <f>SUM(S74)</f>
        <v>0</v>
      </c>
      <c r="T37" s="358">
        <f>SUM(T74)</f>
        <v>0</v>
      </c>
      <c r="U37" s="304">
        <f>SUM(U74)</f>
        <v>0</v>
      </c>
      <c r="V37" s="359"/>
      <c r="W37" s="279"/>
      <c r="X37" s="116"/>
    </row>
    <row r="38" spans="1:24" s="8" customFormat="1" ht="15" customHeight="1">
      <c r="A38" s="166"/>
      <c r="B38" s="232"/>
      <c r="C38" s="233"/>
      <c r="D38" s="432" t="s">
        <v>293</v>
      </c>
      <c r="E38" s="433"/>
      <c r="F38" s="433"/>
      <c r="G38" s="433"/>
      <c r="H38" s="433"/>
      <c r="I38" s="433"/>
      <c r="J38" s="433"/>
      <c r="K38" s="433"/>
      <c r="L38" s="434"/>
      <c r="M38" s="432" t="s">
        <v>293</v>
      </c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</row>
    <row r="39" spans="1:24" s="39" customFormat="1" ht="35.25" customHeight="1">
      <c r="A39" s="103">
        <v>21</v>
      </c>
      <c r="B39" s="43" t="s">
        <v>30</v>
      </c>
      <c r="C39" s="176"/>
      <c r="D39" s="360">
        <f aca="true" t="shared" si="19" ref="D39:I39">SUM(D40:D43)</f>
        <v>49099.123</v>
      </c>
      <c r="E39" s="360">
        <f t="shared" si="19"/>
        <v>57099.123</v>
      </c>
      <c r="F39" s="308">
        <f t="shared" si="19"/>
        <v>8000</v>
      </c>
      <c r="G39" s="360">
        <f t="shared" si="19"/>
        <v>0</v>
      </c>
      <c r="H39" s="360">
        <f t="shared" si="19"/>
        <v>8000</v>
      </c>
      <c r="I39" s="308">
        <f t="shared" si="19"/>
        <v>8000</v>
      </c>
      <c r="J39" s="361"/>
      <c r="K39" s="361"/>
      <c r="L39" s="115"/>
      <c r="M39" s="360">
        <f>SUM(M40:M43)</f>
        <v>0</v>
      </c>
      <c r="N39" s="360">
        <f>SUM(N40:N43)</f>
        <v>0</v>
      </c>
      <c r="O39" s="308">
        <f>SUM(O40:O43)</f>
        <v>0</v>
      </c>
      <c r="P39" s="361"/>
      <c r="Q39" s="361"/>
      <c r="R39" s="115"/>
      <c r="S39" s="360">
        <f>SUM(S40:S43)</f>
        <v>0</v>
      </c>
      <c r="T39" s="360">
        <f>SUM(T40:T43)</f>
        <v>0</v>
      </c>
      <c r="U39" s="308">
        <f>SUM(U40:U43)</f>
        <v>0</v>
      </c>
      <c r="V39" s="266"/>
      <c r="W39" s="280"/>
      <c r="X39" s="115"/>
    </row>
    <row r="40" spans="1:24" s="8" customFormat="1" ht="15" customHeight="1">
      <c r="A40" s="103">
        <v>22</v>
      </c>
      <c r="B40" s="10" t="s">
        <v>289</v>
      </c>
      <c r="C40" s="176"/>
      <c r="D40" s="358">
        <f>SUM(D46+D64)</f>
        <v>1737.823</v>
      </c>
      <c r="E40" s="358">
        <f>SUM(E46+E64)</f>
        <v>9737.823</v>
      </c>
      <c r="F40" s="304">
        <f>E40-D40</f>
        <v>8000</v>
      </c>
      <c r="G40" s="358">
        <f>SUM(G46+G64)</f>
        <v>0</v>
      </c>
      <c r="H40" s="358">
        <f>SUM(H46+H64)</f>
        <v>8000</v>
      </c>
      <c r="I40" s="304">
        <f>H40-G40</f>
        <v>8000</v>
      </c>
      <c r="J40" s="359"/>
      <c r="K40" s="359"/>
      <c r="L40" s="116"/>
      <c r="M40" s="358">
        <f>SUM(M46+M64)</f>
        <v>0</v>
      </c>
      <c r="N40" s="358">
        <f>SUM(N46+N64)</f>
        <v>0</v>
      </c>
      <c r="O40" s="304">
        <f>N40-M40</f>
        <v>0</v>
      </c>
      <c r="P40" s="359"/>
      <c r="Q40" s="359"/>
      <c r="R40" s="116"/>
      <c r="S40" s="358">
        <f>SUM(S46+S64)</f>
        <v>0</v>
      </c>
      <c r="T40" s="358">
        <f>SUM(T46+T64)</f>
        <v>0</v>
      </c>
      <c r="U40" s="304">
        <f>T40-S40</f>
        <v>0</v>
      </c>
      <c r="V40" s="265"/>
      <c r="W40" s="279"/>
      <c r="X40" s="116"/>
    </row>
    <row r="41" spans="1:24" s="8" customFormat="1" ht="15" customHeight="1">
      <c r="A41" s="103">
        <v>23</v>
      </c>
      <c r="B41" s="10" t="s">
        <v>290</v>
      </c>
      <c r="C41" s="176"/>
      <c r="D41" s="352">
        <f>SUM(D47)</f>
        <v>12802.1</v>
      </c>
      <c r="E41" s="352">
        <f>SUM(E47)</f>
        <v>12802.1</v>
      </c>
      <c r="F41" s="304">
        <f>E41-D41</f>
        <v>0</v>
      </c>
      <c r="G41" s="352">
        <f>SUM(G47)</f>
        <v>0</v>
      </c>
      <c r="H41" s="352">
        <f>SUM(H47)</f>
        <v>0</v>
      </c>
      <c r="I41" s="304">
        <f>H41-G41</f>
        <v>0</v>
      </c>
      <c r="J41" s="359"/>
      <c r="K41" s="359"/>
      <c r="L41" s="116"/>
      <c r="M41" s="352">
        <f>SUM(M47)</f>
        <v>0</v>
      </c>
      <c r="N41" s="352">
        <f>SUM(N47)</f>
        <v>0</v>
      </c>
      <c r="O41" s="304">
        <f>N41-M41</f>
        <v>0</v>
      </c>
      <c r="P41" s="359"/>
      <c r="Q41" s="359"/>
      <c r="R41" s="116"/>
      <c r="S41" s="352">
        <f>SUM(S47)</f>
        <v>0</v>
      </c>
      <c r="T41" s="352">
        <f>SUM(T47)</f>
        <v>0</v>
      </c>
      <c r="U41" s="304">
        <f>T41-S41</f>
        <v>0</v>
      </c>
      <c r="V41" s="265"/>
      <c r="W41" s="279"/>
      <c r="X41" s="116"/>
    </row>
    <row r="42" spans="1:24" s="8" customFormat="1" ht="15" customHeight="1">
      <c r="A42" s="103">
        <v>24</v>
      </c>
      <c r="B42" s="10" t="s">
        <v>291</v>
      </c>
      <c r="C42" s="176"/>
      <c r="D42" s="358">
        <f>SUM(D48+D66)</f>
        <v>34559.2</v>
      </c>
      <c r="E42" s="358">
        <f>SUM(E48+E66)</f>
        <v>34559.2</v>
      </c>
      <c r="F42" s="304">
        <f>E42-D42</f>
        <v>0</v>
      </c>
      <c r="G42" s="358">
        <f>SUM(G48+G66)</f>
        <v>0</v>
      </c>
      <c r="H42" s="358">
        <f>SUM(H48+H66)</f>
        <v>0</v>
      </c>
      <c r="I42" s="304">
        <f>H42-G42</f>
        <v>0</v>
      </c>
      <c r="J42" s="359"/>
      <c r="K42" s="359"/>
      <c r="L42" s="116"/>
      <c r="M42" s="358">
        <f>SUM(M48+M66)</f>
        <v>0</v>
      </c>
      <c r="N42" s="358">
        <f>SUM(N48+N66)</f>
        <v>0</v>
      </c>
      <c r="O42" s="304">
        <f>N42-M42</f>
        <v>0</v>
      </c>
      <c r="P42" s="359"/>
      <c r="Q42" s="359"/>
      <c r="R42" s="116"/>
      <c r="S42" s="358">
        <f>SUM(S48+S66)</f>
        <v>0</v>
      </c>
      <c r="T42" s="358">
        <f>SUM(T48+T66)</f>
        <v>0</v>
      </c>
      <c r="U42" s="304">
        <f>T42-S42</f>
        <v>0</v>
      </c>
      <c r="V42" s="265"/>
      <c r="W42" s="279"/>
      <c r="X42" s="116"/>
    </row>
    <row r="43" spans="1:24" s="8" customFormat="1" ht="15" customHeight="1">
      <c r="A43" s="103">
        <v>25</v>
      </c>
      <c r="B43" s="10" t="s">
        <v>292</v>
      </c>
      <c r="C43" s="172"/>
      <c r="D43" s="302"/>
      <c r="E43" s="303"/>
      <c r="F43" s="304"/>
      <c r="G43" s="302"/>
      <c r="H43" s="303"/>
      <c r="I43" s="304"/>
      <c r="J43" s="265"/>
      <c r="K43" s="279"/>
      <c r="L43" s="116"/>
      <c r="M43" s="302"/>
      <c r="N43" s="303"/>
      <c r="O43" s="304"/>
      <c r="P43" s="265"/>
      <c r="Q43" s="279"/>
      <c r="R43" s="116"/>
      <c r="S43" s="302"/>
      <c r="T43" s="303"/>
      <c r="U43" s="304"/>
      <c r="V43" s="265"/>
      <c r="W43" s="279"/>
      <c r="X43" s="116"/>
    </row>
    <row r="44" spans="1:24" s="8" customFormat="1" ht="15" customHeight="1">
      <c r="A44" s="167"/>
      <c r="B44" s="236"/>
      <c r="C44" s="236"/>
      <c r="D44" s="420" t="s">
        <v>294</v>
      </c>
      <c r="E44" s="421"/>
      <c r="F44" s="421"/>
      <c r="G44" s="421"/>
      <c r="H44" s="421"/>
      <c r="I44" s="421"/>
      <c r="J44" s="421"/>
      <c r="K44" s="421"/>
      <c r="L44" s="422"/>
      <c r="M44" s="420" t="s">
        <v>294</v>
      </c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</row>
    <row r="45" spans="1:24" s="39" customFormat="1" ht="51" customHeight="1">
      <c r="A45" s="103">
        <v>26</v>
      </c>
      <c r="B45" s="43" t="s">
        <v>572</v>
      </c>
      <c r="C45" s="176"/>
      <c r="D45" s="362">
        <f aca="true" t="shared" si="20" ref="D45:I45">SUM(D46:D49)</f>
        <v>49099.123</v>
      </c>
      <c r="E45" s="362">
        <f t="shared" si="20"/>
        <v>57099.123</v>
      </c>
      <c r="F45" s="309">
        <f t="shared" si="20"/>
        <v>8000</v>
      </c>
      <c r="G45" s="362">
        <f t="shared" si="20"/>
        <v>0</v>
      </c>
      <c r="H45" s="362">
        <f t="shared" si="20"/>
        <v>8000</v>
      </c>
      <c r="I45" s="309">
        <f t="shared" si="20"/>
        <v>8000</v>
      </c>
      <c r="J45" s="363"/>
      <c r="K45" s="363"/>
      <c r="L45" s="97"/>
      <c r="M45" s="362">
        <f>SUM(M46:M49)</f>
        <v>0</v>
      </c>
      <c r="N45" s="362">
        <f>SUM(N46:N49)</f>
        <v>0</v>
      </c>
      <c r="O45" s="309">
        <f>SUM(O46:O49)</f>
        <v>0</v>
      </c>
      <c r="P45" s="267"/>
      <c r="Q45" s="281"/>
      <c r="R45" s="97"/>
      <c r="S45" s="362">
        <f>SUM(S46:S49)</f>
        <v>0</v>
      </c>
      <c r="T45" s="362">
        <f>SUM(T46:T49)</f>
        <v>0</v>
      </c>
      <c r="U45" s="309">
        <f>SUM(U46:U49)</f>
        <v>0</v>
      </c>
      <c r="V45" s="267"/>
      <c r="W45" s="281"/>
      <c r="X45" s="97"/>
    </row>
    <row r="46" spans="1:24" s="8" customFormat="1" ht="15" customHeight="1">
      <c r="A46" s="103">
        <v>27</v>
      </c>
      <c r="B46" s="10" t="s">
        <v>289</v>
      </c>
      <c r="C46" s="176"/>
      <c r="D46" s="364">
        <f>SUM(D52+D58)</f>
        <v>1737.823</v>
      </c>
      <c r="E46" s="364">
        <f>SUM(E52+E58)</f>
        <v>9737.823</v>
      </c>
      <c r="F46" s="304">
        <f>E46-D46</f>
        <v>8000</v>
      </c>
      <c r="G46" s="364">
        <f>SUM(G52+G58)</f>
        <v>0</v>
      </c>
      <c r="H46" s="364">
        <f>SUM(H52+H58)</f>
        <v>8000</v>
      </c>
      <c r="I46" s="304">
        <f>H46-G46</f>
        <v>8000</v>
      </c>
      <c r="J46" s="365"/>
      <c r="K46" s="365"/>
      <c r="L46" s="116"/>
      <c r="M46" s="364">
        <f>SUM(M52+M58)</f>
        <v>0</v>
      </c>
      <c r="N46" s="364">
        <f>SUM(N52+N58)</f>
        <v>0</v>
      </c>
      <c r="O46" s="304">
        <f>N46-M46</f>
        <v>0</v>
      </c>
      <c r="P46" s="268"/>
      <c r="Q46" s="282"/>
      <c r="R46" s="116"/>
      <c r="S46" s="364">
        <f>SUM(S52+S58)</f>
        <v>0</v>
      </c>
      <c r="T46" s="364">
        <f>SUM(T52+T58)</f>
        <v>0</v>
      </c>
      <c r="U46" s="304">
        <f>T46-S46</f>
        <v>0</v>
      </c>
      <c r="V46" s="268"/>
      <c r="W46" s="282"/>
      <c r="X46" s="116"/>
    </row>
    <row r="47" spans="1:24" s="8" customFormat="1" ht="15" customHeight="1">
      <c r="A47" s="103">
        <v>28</v>
      </c>
      <c r="B47" s="10" t="s">
        <v>290</v>
      </c>
      <c r="C47" s="176"/>
      <c r="D47" s="364">
        <f>SUM(D53)</f>
        <v>12802.1</v>
      </c>
      <c r="E47" s="364">
        <f>SUM(E53)</f>
        <v>12802.1</v>
      </c>
      <c r="F47" s="304">
        <f>E47-D47</f>
        <v>0</v>
      </c>
      <c r="G47" s="364">
        <f>SUM(G53)</f>
        <v>0</v>
      </c>
      <c r="H47" s="364">
        <f>SUM(H53)</f>
        <v>0</v>
      </c>
      <c r="I47" s="304">
        <f>H47-G47</f>
        <v>0</v>
      </c>
      <c r="J47" s="365"/>
      <c r="K47" s="365"/>
      <c r="L47" s="116"/>
      <c r="M47" s="364">
        <f>SUM(M53)</f>
        <v>0</v>
      </c>
      <c r="N47" s="364">
        <f>SUM(N53)</f>
        <v>0</v>
      </c>
      <c r="O47" s="304">
        <f>N47-M47</f>
        <v>0</v>
      </c>
      <c r="P47" s="268"/>
      <c r="Q47" s="282"/>
      <c r="R47" s="116"/>
      <c r="S47" s="364">
        <f>SUM(S53)</f>
        <v>0</v>
      </c>
      <c r="T47" s="364">
        <f>SUM(T53)</f>
        <v>0</v>
      </c>
      <c r="U47" s="304">
        <f>T47-S47</f>
        <v>0</v>
      </c>
      <c r="V47" s="268"/>
      <c r="W47" s="282"/>
      <c r="X47" s="116"/>
    </row>
    <row r="48" spans="1:24" s="8" customFormat="1" ht="15" customHeight="1">
      <c r="A48" s="103">
        <v>29</v>
      </c>
      <c r="B48" s="10" t="s">
        <v>291</v>
      </c>
      <c r="C48" s="176"/>
      <c r="D48" s="364">
        <f>SUM(D54)</f>
        <v>34559.2</v>
      </c>
      <c r="E48" s="364">
        <f>SUM(E54)</f>
        <v>34559.2</v>
      </c>
      <c r="F48" s="304">
        <f>E48-D48</f>
        <v>0</v>
      </c>
      <c r="G48" s="364">
        <f>SUM(G54)</f>
        <v>0</v>
      </c>
      <c r="H48" s="364">
        <f>SUM(H54)</f>
        <v>0</v>
      </c>
      <c r="I48" s="304">
        <f>H48-G48</f>
        <v>0</v>
      </c>
      <c r="J48" s="365"/>
      <c r="K48" s="365"/>
      <c r="L48" s="116"/>
      <c r="M48" s="364">
        <f>SUM(M54)</f>
        <v>0</v>
      </c>
      <c r="N48" s="364">
        <f>SUM(N54)</f>
        <v>0</v>
      </c>
      <c r="O48" s="304">
        <f>N48-M48</f>
        <v>0</v>
      </c>
      <c r="P48" s="268"/>
      <c r="Q48" s="282"/>
      <c r="R48" s="116"/>
      <c r="S48" s="364">
        <f>SUM(S54)</f>
        <v>0</v>
      </c>
      <c r="T48" s="364">
        <f>SUM(T54)</f>
        <v>0</v>
      </c>
      <c r="U48" s="304">
        <f>T48-S48</f>
        <v>0</v>
      </c>
      <c r="V48" s="268"/>
      <c r="W48" s="282"/>
      <c r="X48" s="116"/>
    </row>
    <row r="49" spans="1:24" s="8" customFormat="1" ht="15" customHeight="1">
      <c r="A49" s="103">
        <v>30</v>
      </c>
      <c r="B49" s="10" t="s">
        <v>292</v>
      </c>
      <c r="C49" s="176"/>
      <c r="D49" s="352">
        <v>0</v>
      </c>
      <c r="E49" s="352">
        <v>0</v>
      </c>
      <c r="F49" s="304">
        <f>E49-D49</f>
        <v>0</v>
      </c>
      <c r="G49" s="352">
        <v>0</v>
      </c>
      <c r="H49" s="352">
        <v>0</v>
      </c>
      <c r="I49" s="304">
        <f>H49-G49</f>
        <v>0</v>
      </c>
      <c r="J49" s="359"/>
      <c r="K49" s="359"/>
      <c r="L49" s="116"/>
      <c r="M49" s="352">
        <v>0</v>
      </c>
      <c r="N49" s="352">
        <v>0</v>
      </c>
      <c r="O49" s="304">
        <f>N49-M49</f>
        <v>0</v>
      </c>
      <c r="P49" s="265"/>
      <c r="Q49" s="279"/>
      <c r="R49" s="116"/>
      <c r="S49" s="352">
        <v>0</v>
      </c>
      <c r="T49" s="352">
        <v>0</v>
      </c>
      <c r="U49" s="304">
        <f>T49-S49</f>
        <v>0</v>
      </c>
      <c r="V49" s="265"/>
      <c r="W49" s="279"/>
      <c r="X49" s="116"/>
    </row>
    <row r="50" spans="1:24" s="8" customFormat="1" ht="15" customHeight="1">
      <c r="A50" s="103"/>
      <c r="B50" s="10"/>
      <c r="C50" s="176"/>
      <c r="D50" s="366"/>
      <c r="E50" s="366"/>
      <c r="F50" s="312"/>
      <c r="G50" s="366"/>
      <c r="H50" s="364"/>
      <c r="I50" s="312"/>
      <c r="J50" s="365"/>
      <c r="K50" s="365"/>
      <c r="L50" s="152"/>
      <c r="M50" s="366"/>
      <c r="N50" s="364"/>
      <c r="O50" s="312"/>
      <c r="P50" s="268"/>
      <c r="Q50" s="282"/>
      <c r="R50" s="152"/>
      <c r="S50" s="366"/>
      <c r="T50" s="364"/>
      <c r="U50" s="312"/>
      <c r="V50" s="268"/>
      <c r="W50" s="282"/>
      <c r="X50" s="152"/>
    </row>
    <row r="51" spans="1:24" s="8" customFormat="1" ht="93.75" customHeight="1">
      <c r="A51" s="103">
        <v>31</v>
      </c>
      <c r="B51" s="43" t="s">
        <v>576</v>
      </c>
      <c r="C51" s="187" t="s">
        <v>31</v>
      </c>
      <c r="D51" s="362">
        <f aca="true" t="shared" si="21" ref="D51:I51">SUM(D52:D55)</f>
        <v>49099.123</v>
      </c>
      <c r="E51" s="362">
        <f t="shared" si="21"/>
        <v>49099.123</v>
      </c>
      <c r="F51" s="309">
        <f t="shared" si="21"/>
        <v>0</v>
      </c>
      <c r="G51" s="362">
        <f t="shared" si="21"/>
        <v>0</v>
      </c>
      <c r="H51" s="362">
        <f t="shared" si="21"/>
        <v>0</v>
      </c>
      <c r="I51" s="309">
        <f t="shared" si="21"/>
        <v>0</v>
      </c>
      <c r="J51" s="363"/>
      <c r="K51" s="363"/>
      <c r="L51" s="97"/>
      <c r="M51" s="362">
        <f>SUM(M52:M55)</f>
        <v>0</v>
      </c>
      <c r="N51" s="362">
        <f>SUM(N52:N55)</f>
        <v>0</v>
      </c>
      <c r="O51" s="309">
        <f>SUM(O52:O55)</f>
        <v>0</v>
      </c>
      <c r="P51" s="267"/>
      <c r="Q51" s="281"/>
      <c r="R51" s="97"/>
      <c r="S51" s="362">
        <f>SUM(S52:S55)</f>
        <v>0</v>
      </c>
      <c r="T51" s="362">
        <f>SUM(T52:T55)</f>
        <v>0</v>
      </c>
      <c r="U51" s="309">
        <f>SUM(U52:U55)</f>
        <v>0</v>
      </c>
      <c r="V51" s="267"/>
      <c r="W51" s="281"/>
      <c r="X51" s="97"/>
    </row>
    <row r="52" spans="1:24" s="8" customFormat="1" ht="15" customHeight="1">
      <c r="A52" s="103">
        <v>32</v>
      </c>
      <c r="B52" s="10" t="s">
        <v>289</v>
      </c>
      <c r="C52" s="176" t="s">
        <v>647</v>
      </c>
      <c r="D52" s="358">
        <v>1737.823</v>
      </c>
      <c r="E52" s="358">
        <v>1737.823</v>
      </c>
      <c r="F52" s="304">
        <f>E52-D52</f>
        <v>0</v>
      </c>
      <c r="G52" s="352"/>
      <c r="H52" s="358"/>
      <c r="I52" s="304">
        <f>H52-G52</f>
        <v>0</v>
      </c>
      <c r="J52" s="359"/>
      <c r="K52" s="359"/>
      <c r="L52" s="116"/>
      <c r="M52" s="297"/>
      <c r="N52" s="303"/>
      <c r="O52" s="304">
        <f>N52-M52</f>
        <v>0</v>
      </c>
      <c r="P52" s="265"/>
      <c r="Q52" s="279"/>
      <c r="R52" s="116"/>
      <c r="S52" s="352"/>
      <c r="T52" s="358"/>
      <c r="U52" s="304">
        <f>T52-S52</f>
        <v>0</v>
      </c>
      <c r="V52" s="265"/>
      <c r="W52" s="279"/>
      <c r="X52" s="116"/>
    </row>
    <row r="53" spans="1:24" s="8" customFormat="1" ht="15" customHeight="1">
      <c r="A53" s="103">
        <v>33</v>
      </c>
      <c r="B53" s="10" t="s">
        <v>290</v>
      </c>
      <c r="C53" s="176"/>
      <c r="D53" s="358">
        <v>12802.1</v>
      </c>
      <c r="E53" s="358">
        <v>12802.1</v>
      </c>
      <c r="F53" s="304">
        <f>E53-D53</f>
        <v>0</v>
      </c>
      <c r="G53" s="352"/>
      <c r="H53" s="358"/>
      <c r="I53" s="304">
        <f>H53-G53</f>
        <v>0</v>
      </c>
      <c r="J53" s="359"/>
      <c r="K53" s="359"/>
      <c r="L53" s="116"/>
      <c r="M53" s="297"/>
      <c r="N53" s="303"/>
      <c r="O53" s="304">
        <f>N53-M53</f>
        <v>0</v>
      </c>
      <c r="P53" s="265"/>
      <c r="Q53" s="279"/>
      <c r="R53" s="116"/>
      <c r="S53" s="352"/>
      <c r="T53" s="358"/>
      <c r="U53" s="304">
        <f>T53-S53</f>
        <v>0</v>
      </c>
      <c r="V53" s="265"/>
      <c r="W53" s="279"/>
      <c r="X53" s="116"/>
    </row>
    <row r="54" spans="1:24" s="8" customFormat="1" ht="15" customHeight="1">
      <c r="A54" s="103">
        <v>34</v>
      </c>
      <c r="B54" s="10" t="s">
        <v>291</v>
      </c>
      <c r="C54" s="176"/>
      <c r="D54" s="358">
        <v>34559.2</v>
      </c>
      <c r="E54" s="358">
        <v>34559.2</v>
      </c>
      <c r="F54" s="304">
        <f>E54-D54</f>
        <v>0</v>
      </c>
      <c r="G54" s="352"/>
      <c r="H54" s="358"/>
      <c r="I54" s="304">
        <f>H54-G54</f>
        <v>0</v>
      </c>
      <c r="J54" s="359"/>
      <c r="K54" s="359"/>
      <c r="L54" s="116"/>
      <c r="M54" s="297"/>
      <c r="N54" s="303"/>
      <c r="O54" s="304">
        <f>N54-M54</f>
        <v>0</v>
      </c>
      <c r="P54" s="265"/>
      <c r="Q54" s="279"/>
      <c r="R54" s="116"/>
      <c r="S54" s="352"/>
      <c r="T54" s="358"/>
      <c r="U54" s="304">
        <f>T54-S54</f>
        <v>0</v>
      </c>
      <c r="V54" s="265"/>
      <c r="W54" s="279"/>
      <c r="X54" s="116"/>
    </row>
    <row r="55" spans="1:24" s="8" customFormat="1" ht="15" customHeight="1">
      <c r="A55" s="103">
        <v>35</v>
      </c>
      <c r="B55" s="10" t="s">
        <v>292</v>
      </c>
      <c r="C55" s="176"/>
      <c r="D55" s="358">
        <v>0</v>
      </c>
      <c r="E55" s="358">
        <v>0</v>
      </c>
      <c r="F55" s="304">
        <f>E55-D55</f>
        <v>0</v>
      </c>
      <c r="G55" s="352"/>
      <c r="H55" s="358"/>
      <c r="I55" s="304">
        <f>H55-G55</f>
        <v>0</v>
      </c>
      <c r="J55" s="359"/>
      <c r="K55" s="359"/>
      <c r="L55" s="116"/>
      <c r="M55" s="297"/>
      <c r="N55" s="303"/>
      <c r="O55" s="304">
        <f>N55-M55</f>
        <v>0</v>
      </c>
      <c r="P55" s="265"/>
      <c r="Q55" s="279"/>
      <c r="R55" s="116"/>
      <c r="S55" s="352"/>
      <c r="T55" s="358"/>
      <c r="U55" s="304">
        <f>T55-S55</f>
        <v>0</v>
      </c>
      <c r="V55" s="265"/>
      <c r="W55" s="279"/>
      <c r="X55" s="116"/>
    </row>
    <row r="56" spans="1:24" s="8" customFormat="1" ht="15" customHeight="1">
      <c r="A56" s="103"/>
      <c r="B56" s="10"/>
      <c r="C56" s="176"/>
      <c r="D56" s="358"/>
      <c r="E56" s="358"/>
      <c r="F56" s="312"/>
      <c r="G56" s="352"/>
      <c r="H56" s="364"/>
      <c r="I56" s="312"/>
      <c r="J56" s="365"/>
      <c r="K56" s="365"/>
      <c r="L56" s="152"/>
      <c r="M56" s="297"/>
      <c r="N56" s="311"/>
      <c r="O56" s="312"/>
      <c r="P56" s="268"/>
      <c r="Q56" s="282"/>
      <c r="R56" s="152"/>
      <c r="S56" s="352"/>
      <c r="T56" s="364"/>
      <c r="U56" s="312"/>
      <c r="V56" s="268"/>
      <c r="W56" s="282"/>
      <c r="X56" s="152"/>
    </row>
    <row r="57" spans="1:24" s="8" customFormat="1" ht="70.5" customHeight="1">
      <c r="A57" s="99">
        <v>36</v>
      </c>
      <c r="B57" s="43" t="s">
        <v>155</v>
      </c>
      <c r="C57" s="187" t="s">
        <v>184</v>
      </c>
      <c r="D57" s="360">
        <f aca="true" t="shared" si="22" ref="D57:I57">SUM(D58)</f>
        <v>0</v>
      </c>
      <c r="E57" s="360">
        <f t="shared" si="22"/>
        <v>8000</v>
      </c>
      <c r="F57" s="308">
        <f t="shared" si="22"/>
        <v>8000</v>
      </c>
      <c r="G57" s="360">
        <f t="shared" si="22"/>
        <v>0</v>
      </c>
      <c r="H57" s="360">
        <f t="shared" si="22"/>
        <v>8000</v>
      </c>
      <c r="I57" s="308">
        <f t="shared" si="22"/>
        <v>8000</v>
      </c>
      <c r="J57" s="367" t="s">
        <v>183</v>
      </c>
      <c r="K57" s="367" t="s">
        <v>183</v>
      </c>
      <c r="L57" s="226" t="s">
        <v>182</v>
      </c>
      <c r="M57" s="360">
        <f>SUM(M58)</f>
        <v>0</v>
      </c>
      <c r="N57" s="360">
        <f>SUM(N58)</f>
        <v>0</v>
      </c>
      <c r="O57" s="308">
        <f>SUM(O58)</f>
        <v>0</v>
      </c>
      <c r="P57" s="271"/>
      <c r="Q57" s="284"/>
      <c r="R57" s="226"/>
      <c r="S57" s="360">
        <f>SUM(S58)</f>
        <v>0</v>
      </c>
      <c r="T57" s="360">
        <f>SUM(T58)</f>
        <v>0</v>
      </c>
      <c r="U57" s="308">
        <f>SUM(U58)</f>
        <v>0</v>
      </c>
      <c r="V57" s="271"/>
      <c r="W57" s="284"/>
      <c r="X57" s="226"/>
    </row>
    <row r="58" spans="1:24" s="8" customFormat="1" ht="15" customHeight="1">
      <c r="A58" s="99">
        <v>37</v>
      </c>
      <c r="B58" s="10" t="s">
        <v>289</v>
      </c>
      <c r="C58" s="176"/>
      <c r="D58" s="358">
        <f>SUM(D60)</f>
        <v>0</v>
      </c>
      <c r="E58" s="358">
        <f>SUM(E60)</f>
        <v>8000</v>
      </c>
      <c r="F58" s="304">
        <f>E58-D58</f>
        <v>8000</v>
      </c>
      <c r="G58" s="358">
        <f>SUM(G60)</f>
        <v>0</v>
      </c>
      <c r="H58" s="358">
        <f>SUM(H60)</f>
        <v>8000</v>
      </c>
      <c r="I58" s="304">
        <f>H58-G58</f>
        <v>8000</v>
      </c>
      <c r="J58" s="365"/>
      <c r="K58" s="365"/>
      <c r="L58" s="152"/>
      <c r="M58" s="358">
        <f>SUM(M60)</f>
        <v>0</v>
      </c>
      <c r="N58" s="358">
        <f>SUM(N60)</f>
        <v>0</v>
      </c>
      <c r="O58" s="304">
        <f>N58-M58</f>
        <v>0</v>
      </c>
      <c r="P58" s="268"/>
      <c r="Q58" s="282"/>
      <c r="R58" s="152"/>
      <c r="S58" s="358">
        <f>SUM(S60)</f>
        <v>0</v>
      </c>
      <c r="T58" s="358">
        <f>SUM(T60)</f>
        <v>0</v>
      </c>
      <c r="U58" s="304">
        <f>T58-S58</f>
        <v>0</v>
      </c>
      <c r="V58" s="268"/>
      <c r="W58" s="282"/>
      <c r="X58" s="152"/>
    </row>
    <row r="59" spans="1:24" s="8" customFormat="1" ht="15" customHeight="1">
      <c r="A59" s="99"/>
      <c r="B59" s="10" t="s">
        <v>301</v>
      </c>
      <c r="C59" s="176"/>
      <c r="D59" s="358"/>
      <c r="E59" s="358"/>
      <c r="F59" s="312"/>
      <c r="G59" s="358"/>
      <c r="H59" s="358"/>
      <c r="I59" s="312"/>
      <c r="J59" s="365"/>
      <c r="K59" s="365"/>
      <c r="L59" s="152"/>
      <c r="M59" s="358"/>
      <c r="N59" s="358"/>
      <c r="O59" s="312"/>
      <c r="P59" s="268"/>
      <c r="Q59" s="282"/>
      <c r="R59" s="152"/>
      <c r="S59" s="358"/>
      <c r="T59" s="358"/>
      <c r="U59" s="312"/>
      <c r="V59" s="268"/>
      <c r="W59" s="282"/>
      <c r="X59" s="152"/>
    </row>
    <row r="60" spans="1:24" s="8" customFormat="1" ht="15" customHeight="1">
      <c r="A60" s="99" t="s">
        <v>118</v>
      </c>
      <c r="B60" s="10" t="s">
        <v>167</v>
      </c>
      <c r="C60" s="176"/>
      <c r="D60" s="358"/>
      <c r="E60" s="358">
        <v>8000</v>
      </c>
      <c r="F60" s="304">
        <f>E60-D60</f>
        <v>8000</v>
      </c>
      <c r="G60" s="358"/>
      <c r="H60" s="358">
        <v>8000</v>
      </c>
      <c r="I60" s="304">
        <f>H60-G60</f>
        <v>8000</v>
      </c>
      <c r="J60" s="365"/>
      <c r="K60" s="365"/>
      <c r="L60" s="152"/>
      <c r="M60" s="358"/>
      <c r="N60" s="358"/>
      <c r="O60" s="304">
        <f>N60-M60</f>
        <v>0</v>
      </c>
      <c r="P60" s="268"/>
      <c r="Q60" s="282"/>
      <c r="R60" s="152"/>
      <c r="S60" s="302"/>
      <c r="T60" s="303"/>
      <c r="U60" s="304">
        <f>T60-S60</f>
        <v>0</v>
      </c>
      <c r="V60" s="268"/>
      <c r="W60" s="282"/>
      <c r="X60" s="152"/>
    </row>
    <row r="61" spans="1:24" s="8" customFormat="1" ht="15" customHeight="1">
      <c r="A61" s="99"/>
      <c r="B61" s="10"/>
      <c r="C61" s="176"/>
      <c r="D61" s="352"/>
      <c r="E61" s="352"/>
      <c r="F61" s="312"/>
      <c r="G61" s="352"/>
      <c r="H61" s="364"/>
      <c r="I61" s="312"/>
      <c r="J61" s="365"/>
      <c r="K61" s="365"/>
      <c r="L61" s="152"/>
      <c r="M61" s="297"/>
      <c r="N61" s="311"/>
      <c r="O61" s="312"/>
      <c r="P61" s="268"/>
      <c r="Q61" s="282"/>
      <c r="R61" s="152"/>
      <c r="S61" s="297"/>
      <c r="T61" s="311"/>
      <c r="U61" s="312"/>
      <c r="V61" s="268"/>
      <c r="W61" s="282"/>
      <c r="X61" s="152"/>
    </row>
    <row r="62" spans="1:24" s="8" customFormat="1" ht="15" customHeight="1">
      <c r="A62" s="167"/>
      <c r="B62" s="236"/>
      <c r="C62" s="236"/>
      <c r="D62" s="420" t="s">
        <v>305</v>
      </c>
      <c r="E62" s="421"/>
      <c r="F62" s="421"/>
      <c r="G62" s="421"/>
      <c r="H62" s="421"/>
      <c r="I62" s="421"/>
      <c r="J62" s="421"/>
      <c r="K62" s="421"/>
      <c r="L62" s="422"/>
      <c r="M62" s="420" t="s">
        <v>305</v>
      </c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</row>
    <row r="63" spans="1:24" s="41" customFormat="1" ht="31.5">
      <c r="A63" s="99" t="s">
        <v>119</v>
      </c>
      <c r="B63" s="46" t="s">
        <v>573</v>
      </c>
      <c r="C63" s="177"/>
      <c r="D63" s="392">
        <f>SUM(D65:D67)</f>
        <v>0</v>
      </c>
      <c r="E63" s="392">
        <f>SUM(E65:E67)</f>
        <v>0</v>
      </c>
      <c r="F63" s="204">
        <f>SUM(F64:F67)</f>
        <v>0</v>
      </c>
      <c r="G63" s="392">
        <f>SUM(G65:G67)</f>
        <v>0</v>
      </c>
      <c r="H63" s="392">
        <f>SUM(H64:H67)</f>
        <v>0</v>
      </c>
      <c r="I63" s="204">
        <f>SUM(I64:I67)</f>
        <v>0</v>
      </c>
      <c r="J63" s="393"/>
      <c r="K63" s="259"/>
      <c r="L63" s="114"/>
      <c r="M63" s="392">
        <f>SUM(M65:M67)</f>
        <v>0</v>
      </c>
      <c r="N63" s="392">
        <f>SUM(N64:N67)</f>
        <v>0</v>
      </c>
      <c r="O63" s="204">
        <f>SUM(O64:O67)</f>
        <v>0</v>
      </c>
      <c r="P63" s="393"/>
      <c r="Q63" s="393"/>
      <c r="R63" s="114"/>
      <c r="S63" s="392">
        <f>SUM(S65:S67)</f>
        <v>0</v>
      </c>
      <c r="T63" s="392">
        <f>SUM(T64:T67)</f>
        <v>0</v>
      </c>
      <c r="U63" s="204">
        <f>SUM(U64:U67)</f>
        <v>0</v>
      </c>
      <c r="V63" s="393"/>
      <c r="W63" s="393"/>
      <c r="X63" s="114"/>
    </row>
    <row r="64" spans="1:24" s="14" customFormat="1" ht="15" customHeight="1">
      <c r="A64" s="99" t="s">
        <v>120</v>
      </c>
      <c r="B64" s="10" t="s">
        <v>289</v>
      </c>
      <c r="C64" s="177"/>
      <c r="D64" s="352"/>
      <c r="E64" s="352"/>
      <c r="F64" s="304">
        <f>E64-D64</f>
        <v>0</v>
      </c>
      <c r="G64" s="352"/>
      <c r="H64" s="352"/>
      <c r="I64" s="304">
        <f>H64-G64</f>
        <v>0</v>
      </c>
      <c r="J64" s="353"/>
      <c r="K64" s="260"/>
      <c r="L64" s="116"/>
      <c r="M64" s="352"/>
      <c r="N64" s="352"/>
      <c r="O64" s="304">
        <f>N64-M64</f>
        <v>0</v>
      </c>
      <c r="P64" s="353"/>
      <c r="Q64" s="353"/>
      <c r="R64" s="116"/>
      <c r="S64" s="352"/>
      <c r="T64" s="352"/>
      <c r="U64" s="304">
        <f>T64-S64</f>
        <v>0</v>
      </c>
      <c r="V64" s="353"/>
      <c r="W64" s="353"/>
      <c r="X64" s="116"/>
    </row>
    <row r="65" spans="1:24" s="31" customFormat="1" ht="15" customHeight="1">
      <c r="A65" s="99" t="s">
        <v>121</v>
      </c>
      <c r="B65" s="10" t="s">
        <v>290</v>
      </c>
      <c r="C65" s="177"/>
      <c r="D65" s="352"/>
      <c r="E65" s="352"/>
      <c r="F65" s="304">
        <f>E65-D65</f>
        <v>0</v>
      </c>
      <c r="G65" s="352"/>
      <c r="H65" s="369"/>
      <c r="I65" s="324">
        <f>H65-G65</f>
        <v>0</v>
      </c>
      <c r="J65" s="370"/>
      <c r="K65" s="283"/>
      <c r="L65" s="116"/>
      <c r="M65" s="352"/>
      <c r="N65" s="369"/>
      <c r="O65" s="324">
        <f>N65-M65</f>
        <v>0</v>
      </c>
      <c r="P65" s="370"/>
      <c r="Q65" s="370"/>
      <c r="R65" s="155"/>
      <c r="S65" s="371"/>
      <c r="T65" s="369"/>
      <c r="U65" s="324">
        <f>T65-S65</f>
        <v>0</v>
      </c>
      <c r="V65" s="370"/>
      <c r="W65" s="370"/>
      <c r="X65" s="155"/>
    </row>
    <row r="66" spans="1:24" s="14" customFormat="1" ht="15" customHeight="1">
      <c r="A66" s="99" t="s">
        <v>122</v>
      </c>
      <c r="B66" s="10" t="s">
        <v>291</v>
      </c>
      <c r="C66" s="177"/>
      <c r="D66" s="371"/>
      <c r="E66" s="371"/>
      <c r="F66" s="324">
        <f>E66-D66</f>
        <v>0</v>
      </c>
      <c r="G66" s="371"/>
      <c r="H66" s="371"/>
      <c r="I66" s="324">
        <f>H66-G66</f>
        <v>0</v>
      </c>
      <c r="J66" s="372"/>
      <c r="K66" s="260"/>
      <c r="L66" s="116"/>
      <c r="M66" s="371"/>
      <c r="N66" s="371"/>
      <c r="O66" s="324">
        <f>N66-M66</f>
        <v>0</v>
      </c>
      <c r="P66" s="372"/>
      <c r="Q66" s="372"/>
      <c r="R66" s="155"/>
      <c r="S66" s="371"/>
      <c r="T66" s="371"/>
      <c r="U66" s="324">
        <f>T66-S66</f>
        <v>0</v>
      </c>
      <c r="V66" s="372"/>
      <c r="W66" s="372"/>
      <c r="X66" s="155"/>
    </row>
    <row r="67" spans="1:24" s="14" customFormat="1" ht="15" customHeight="1">
      <c r="A67" s="99" t="s">
        <v>123</v>
      </c>
      <c r="B67" s="10" t="s">
        <v>292</v>
      </c>
      <c r="C67" s="177"/>
      <c r="D67" s="371"/>
      <c r="E67" s="371"/>
      <c r="F67" s="324">
        <f>E67-D67</f>
        <v>0</v>
      </c>
      <c r="G67" s="371"/>
      <c r="H67" s="371"/>
      <c r="I67" s="324">
        <f>H67-G67</f>
        <v>0</v>
      </c>
      <c r="J67" s="372"/>
      <c r="K67" s="260"/>
      <c r="L67" s="116"/>
      <c r="M67" s="371"/>
      <c r="N67" s="371"/>
      <c r="O67" s="324">
        <f>N67-M67</f>
        <v>0</v>
      </c>
      <c r="P67" s="372"/>
      <c r="Q67" s="372"/>
      <c r="R67" s="155"/>
      <c r="S67" s="371"/>
      <c r="T67" s="371"/>
      <c r="U67" s="324">
        <f>T67-S67</f>
        <v>0</v>
      </c>
      <c r="V67" s="372"/>
      <c r="W67" s="372"/>
      <c r="X67" s="155"/>
    </row>
    <row r="68" spans="1:24" s="14" customFormat="1" ht="15" customHeight="1">
      <c r="A68" s="102"/>
      <c r="B68" s="10"/>
      <c r="C68" s="178"/>
      <c r="D68" s="371"/>
      <c r="E68" s="371"/>
      <c r="F68" s="314"/>
      <c r="G68" s="371"/>
      <c r="H68" s="371"/>
      <c r="I68" s="314"/>
      <c r="J68" s="372"/>
      <c r="K68" s="260"/>
      <c r="L68" s="121"/>
      <c r="M68" s="371"/>
      <c r="N68" s="371"/>
      <c r="O68" s="314"/>
      <c r="P68" s="372"/>
      <c r="Q68" s="372"/>
      <c r="R68" s="121"/>
      <c r="S68" s="371"/>
      <c r="T68" s="371"/>
      <c r="U68" s="314"/>
      <c r="V68" s="372"/>
      <c r="W68" s="372"/>
      <c r="X68" s="121"/>
    </row>
    <row r="69" spans="1:24" s="8" customFormat="1" ht="15" customHeight="1">
      <c r="A69" s="166"/>
      <c r="B69" s="232"/>
      <c r="C69" s="233"/>
      <c r="D69" s="432" t="s">
        <v>297</v>
      </c>
      <c r="E69" s="433"/>
      <c r="F69" s="433"/>
      <c r="G69" s="433"/>
      <c r="H69" s="433"/>
      <c r="I69" s="433"/>
      <c r="J69" s="433"/>
      <c r="K69" s="433"/>
      <c r="L69" s="434"/>
      <c r="M69" s="432" t="s">
        <v>297</v>
      </c>
      <c r="N69" s="433"/>
      <c r="O69" s="433"/>
      <c r="P69" s="433"/>
      <c r="Q69" s="433"/>
      <c r="R69" s="433"/>
      <c r="S69" s="433"/>
      <c r="T69" s="433"/>
      <c r="U69" s="433"/>
      <c r="V69" s="433"/>
      <c r="W69" s="433"/>
      <c r="X69" s="433"/>
    </row>
    <row r="70" spans="1:24" s="39" customFormat="1" ht="36" customHeight="1">
      <c r="A70" s="103" t="s">
        <v>124</v>
      </c>
      <c r="B70" s="43" t="s">
        <v>298</v>
      </c>
      <c r="C70" s="176"/>
      <c r="D70" s="362">
        <f aca="true" t="shared" si="23" ref="D70:I70">SUM(D71:D74)</f>
        <v>1997327.7680000002</v>
      </c>
      <c r="E70" s="362">
        <f t="shared" si="23"/>
        <v>1379310.4679999999</v>
      </c>
      <c r="F70" s="309">
        <f t="shared" si="23"/>
        <v>-618017.3</v>
      </c>
      <c r="G70" s="362">
        <f t="shared" si="23"/>
        <v>126176</v>
      </c>
      <c r="H70" s="362">
        <f t="shared" si="23"/>
        <v>82947.7</v>
      </c>
      <c r="I70" s="309">
        <f t="shared" si="23"/>
        <v>-43228.3</v>
      </c>
      <c r="J70" s="363"/>
      <c r="K70" s="363"/>
      <c r="L70" s="97"/>
      <c r="M70" s="362">
        <f>SUM(M71:M74)</f>
        <v>126760</v>
      </c>
      <c r="N70" s="362">
        <f>SUM(N71:N74)</f>
        <v>87830</v>
      </c>
      <c r="O70" s="309">
        <f>SUM(O71:O74)</f>
        <v>-38930</v>
      </c>
      <c r="P70" s="363"/>
      <c r="Q70" s="363"/>
      <c r="R70" s="97"/>
      <c r="S70" s="362">
        <f>SUM(S71:S74)</f>
        <v>127760</v>
      </c>
      <c r="T70" s="362">
        <f>SUM(T71:T74)</f>
        <v>88830</v>
      </c>
      <c r="U70" s="309">
        <f>SUM(U71:U74)</f>
        <v>-38930</v>
      </c>
      <c r="V70" s="363"/>
      <c r="W70" s="363"/>
      <c r="X70" s="97"/>
    </row>
    <row r="71" spans="1:24" s="8" customFormat="1" ht="15" customHeight="1">
      <c r="A71" s="103" t="s">
        <v>125</v>
      </c>
      <c r="B71" s="10" t="s">
        <v>289</v>
      </c>
      <c r="C71" s="176"/>
      <c r="D71" s="352">
        <f aca="true" t="shared" si="24" ref="D71:I71">SUM(D77+D88+D115+D120+D123)</f>
        <v>838832.968</v>
      </c>
      <c r="E71" s="352">
        <f t="shared" si="24"/>
        <v>717744.668</v>
      </c>
      <c r="F71" s="299">
        <f t="shared" si="24"/>
        <v>-121088.30000000005</v>
      </c>
      <c r="G71" s="352">
        <f t="shared" si="24"/>
        <v>126176</v>
      </c>
      <c r="H71" s="352">
        <f t="shared" si="24"/>
        <v>82947.7</v>
      </c>
      <c r="I71" s="299">
        <f t="shared" si="24"/>
        <v>-43228.3</v>
      </c>
      <c r="J71" s="353"/>
      <c r="K71" s="353"/>
      <c r="L71" s="111"/>
      <c r="M71" s="352">
        <f>SUM(M77+M88+M115+M120+M123)</f>
        <v>126760</v>
      </c>
      <c r="N71" s="352">
        <f>SUM(N77+N88+N115+N120+N123)</f>
        <v>87830</v>
      </c>
      <c r="O71" s="299">
        <f>SUM(O77+O88+O115+O120+O123)</f>
        <v>-38930</v>
      </c>
      <c r="P71" s="353"/>
      <c r="Q71" s="353"/>
      <c r="R71" s="111"/>
      <c r="S71" s="352">
        <f>SUM(S77+S88+S115+S120+S123)</f>
        <v>127760</v>
      </c>
      <c r="T71" s="352">
        <f>SUM(T77+T88+T115+T120+T123)</f>
        <v>88830</v>
      </c>
      <c r="U71" s="299">
        <f>SUM(U77+U88+U115+U120+U123)</f>
        <v>-38930</v>
      </c>
      <c r="V71" s="353"/>
      <c r="W71" s="353"/>
      <c r="X71" s="111"/>
    </row>
    <row r="72" spans="1:24" s="8" customFormat="1" ht="15" customHeight="1">
      <c r="A72" s="103" t="s">
        <v>126</v>
      </c>
      <c r="B72" s="10" t="s">
        <v>290</v>
      </c>
      <c r="C72" s="176"/>
      <c r="D72" s="352"/>
      <c r="E72" s="352"/>
      <c r="F72" s="304"/>
      <c r="G72" s="352"/>
      <c r="H72" s="352"/>
      <c r="I72" s="304"/>
      <c r="J72" s="359"/>
      <c r="K72" s="359"/>
      <c r="L72" s="116"/>
      <c r="M72" s="352"/>
      <c r="N72" s="352"/>
      <c r="O72" s="304"/>
      <c r="P72" s="359"/>
      <c r="Q72" s="359"/>
      <c r="R72" s="116"/>
      <c r="S72" s="352"/>
      <c r="T72" s="352"/>
      <c r="U72" s="304"/>
      <c r="V72" s="359"/>
      <c r="W72" s="359"/>
      <c r="X72" s="116"/>
    </row>
    <row r="73" spans="1:24" s="8" customFormat="1" ht="15" customHeight="1">
      <c r="A73" s="103" t="s">
        <v>127</v>
      </c>
      <c r="B73" s="10" t="s">
        <v>291</v>
      </c>
      <c r="C73" s="176"/>
      <c r="D73" s="364">
        <f aca="true" t="shared" si="25" ref="D73:I73">SUM(D89+D112+D116+D124)</f>
        <v>889494.8</v>
      </c>
      <c r="E73" s="364">
        <f t="shared" si="25"/>
        <v>512565.8</v>
      </c>
      <c r="F73" s="312">
        <f t="shared" si="25"/>
        <v>-376929.00000000006</v>
      </c>
      <c r="G73" s="364">
        <f t="shared" si="25"/>
        <v>0</v>
      </c>
      <c r="H73" s="364">
        <f t="shared" si="25"/>
        <v>0</v>
      </c>
      <c r="I73" s="312">
        <f t="shared" si="25"/>
        <v>0</v>
      </c>
      <c r="J73" s="365"/>
      <c r="K73" s="365"/>
      <c r="L73" s="152"/>
      <c r="M73" s="364">
        <f>SUM(M89+M112+M116+M124)</f>
        <v>0</v>
      </c>
      <c r="N73" s="364">
        <f>SUM(N89+N112+N116+N124)</f>
        <v>0</v>
      </c>
      <c r="O73" s="312">
        <f>SUM(O89+O112+O116+O124)</f>
        <v>0</v>
      </c>
      <c r="P73" s="365"/>
      <c r="Q73" s="365"/>
      <c r="R73" s="152"/>
      <c r="S73" s="364">
        <f>SUM(S89+S112+S116+S124)</f>
        <v>0</v>
      </c>
      <c r="T73" s="364">
        <f>SUM(T89+T112+T116+T124)</f>
        <v>0</v>
      </c>
      <c r="U73" s="312">
        <f>SUM(U89+U112+U116+U124)</f>
        <v>0</v>
      </c>
      <c r="V73" s="365"/>
      <c r="W73" s="365"/>
      <c r="X73" s="152"/>
    </row>
    <row r="74" spans="1:24" s="8" customFormat="1" ht="15" customHeight="1">
      <c r="A74" s="103" t="s">
        <v>128</v>
      </c>
      <c r="B74" s="12" t="s">
        <v>292</v>
      </c>
      <c r="C74" s="176"/>
      <c r="D74" s="352">
        <f aca="true" t="shared" si="26" ref="D74:I74">SUM(D117)</f>
        <v>269000</v>
      </c>
      <c r="E74" s="352">
        <f t="shared" si="26"/>
        <v>149000</v>
      </c>
      <c r="F74" s="304">
        <f t="shared" si="26"/>
        <v>-120000</v>
      </c>
      <c r="G74" s="352">
        <f t="shared" si="26"/>
        <v>0</v>
      </c>
      <c r="H74" s="352">
        <f t="shared" si="26"/>
        <v>0</v>
      </c>
      <c r="I74" s="304">
        <f t="shared" si="26"/>
        <v>0</v>
      </c>
      <c r="J74" s="359"/>
      <c r="K74" s="359"/>
      <c r="L74" s="116"/>
      <c r="M74" s="352">
        <f>SUM(M117)</f>
        <v>0</v>
      </c>
      <c r="N74" s="352">
        <f>SUM(N117)</f>
        <v>0</v>
      </c>
      <c r="O74" s="304">
        <f>SUM(O117)</f>
        <v>0</v>
      </c>
      <c r="P74" s="359"/>
      <c r="Q74" s="359"/>
      <c r="R74" s="116"/>
      <c r="S74" s="352">
        <f>SUM(S117)</f>
        <v>0</v>
      </c>
      <c r="T74" s="352">
        <f>SUM(T117)</f>
        <v>0</v>
      </c>
      <c r="U74" s="304">
        <f>SUM(U117)</f>
        <v>0</v>
      </c>
      <c r="V74" s="359"/>
      <c r="W74" s="359"/>
      <c r="X74" s="116"/>
    </row>
    <row r="75" spans="1:24" s="8" customFormat="1" ht="15" customHeight="1">
      <c r="A75" s="103"/>
      <c r="B75" s="12"/>
      <c r="C75" s="176"/>
      <c r="D75" s="366"/>
      <c r="E75" s="366"/>
      <c r="F75" s="312"/>
      <c r="G75" s="366"/>
      <c r="H75" s="364"/>
      <c r="I75" s="312"/>
      <c r="J75" s="365"/>
      <c r="K75" s="365"/>
      <c r="L75" s="152"/>
      <c r="M75" s="366"/>
      <c r="N75" s="364"/>
      <c r="O75" s="312"/>
      <c r="P75" s="365"/>
      <c r="Q75" s="365"/>
      <c r="R75" s="152"/>
      <c r="S75" s="366"/>
      <c r="T75" s="364"/>
      <c r="U75" s="312"/>
      <c r="V75" s="365"/>
      <c r="W75" s="365"/>
      <c r="X75" s="152"/>
    </row>
    <row r="76" spans="1:24" s="41" customFormat="1" ht="80.25" customHeight="1">
      <c r="A76" s="99" t="s">
        <v>129</v>
      </c>
      <c r="B76" s="46" t="s">
        <v>577</v>
      </c>
      <c r="C76" s="188" t="s">
        <v>32</v>
      </c>
      <c r="D76" s="368">
        <f aca="true" t="shared" si="27" ref="D76:I76">SUM(D79:D85)</f>
        <v>10250</v>
      </c>
      <c r="E76" s="368">
        <f t="shared" si="27"/>
        <v>8250</v>
      </c>
      <c r="F76" s="318">
        <f t="shared" si="27"/>
        <v>-2000</v>
      </c>
      <c r="G76" s="368">
        <f t="shared" si="27"/>
        <v>0</v>
      </c>
      <c r="H76" s="368">
        <f t="shared" si="27"/>
        <v>0</v>
      </c>
      <c r="I76" s="318">
        <f t="shared" si="27"/>
        <v>0</v>
      </c>
      <c r="J76" s="367" t="s">
        <v>185</v>
      </c>
      <c r="K76" s="367" t="s">
        <v>211</v>
      </c>
      <c r="L76" s="226" t="s">
        <v>212</v>
      </c>
      <c r="M76" s="368">
        <f>SUM(M79:M85)</f>
        <v>2000</v>
      </c>
      <c r="N76" s="368">
        <f>SUM(N79:N85)</f>
        <v>2000</v>
      </c>
      <c r="O76" s="318">
        <f>SUM(O79:O85)</f>
        <v>0</v>
      </c>
      <c r="P76" s="367" t="s">
        <v>214</v>
      </c>
      <c r="Q76" s="367" t="s">
        <v>213</v>
      </c>
      <c r="R76" s="226" t="s">
        <v>215</v>
      </c>
      <c r="S76" s="368">
        <f>SUM(S79:S85)</f>
        <v>4000</v>
      </c>
      <c r="T76" s="368">
        <f>SUM(T79:T85)</f>
        <v>2000</v>
      </c>
      <c r="U76" s="318">
        <f>SUM(U79:U85)</f>
        <v>-2000</v>
      </c>
      <c r="V76" s="367" t="s">
        <v>186</v>
      </c>
      <c r="W76" s="367" t="s">
        <v>185</v>
      </c>
      <c r="X76" s="226" t="s">
        <v>216</v>
      </c>
    </row>
    <row r="77" spans="1:24" s="14" customFormat="1" ht="15" customHeight="1">
      <c r="A77" s="99" t="s">
        <v>130</v>
      </c>
      <c r="B77" s="28" t="s">
        <v>289</v>
      </c>
      <c r="C77" s="177"/>
      <c r="D77" s="352">
        <f aca="true" t="shared" si="28" ref="D77:I77">SUM(D79:D85)</f>
        <v>10250</v>
      </c>
      <c r="E77" s="352">
        <f t="shared" si="28"/>
        <v>8250</v>
      </c>
      <c r="F77" s="299">
        <f t="shared" si="28"/>
        <v>-2000</v>
      </c>
      <c r="G77" s="352">
        <f t="shared" si="28"/>
        <v>0</v>
      </c>
      <c r="H77" s="352">
        <f t="shared" si="28"/>
        <v>0</v>
      </c>
      <c r="I77" s="299">
        <f t="shared" si="28"/>
        <v>0</v>
      </c>
      <c r="J77" s="353"/>
      <c r="K77" s="353"/>
      <c r="L77" s="111"/>
      <c r="M77" s="395">
        <f>SUM(M79:M85)</f>
        <v>2000</v>
      </c>
      <c r="N77" s="395">
        <f>SUM(N79:N85)</f>
        <v>2000</v>
      </c>
      <c r="O77" s="314">
        <f>SUM(O79:O85)</f>
        <v>0</v>
      </c>
      <c r="P77" s="262"/>
      <c r="Q77" s="260"/>
      <c r="R77" s="121"/>
      <c r="S77" s="395">
        <f>SUM(S79:S85)</f>
        <v>4000</v>
      </c>
      <c r="T77" s="395">
        <f>SUM(T79:T85)</f>
        <v>2000</v>
      </c>
      <c r="U77" s="314">
        <f>SUM(U79:U85)</f>
        <v>-2000</v>
      </c>
      <c r="V77" s="262"/>
      <c r="W77" s="260"/>
      <c r="X77" s="121"/>
    </row>
    <row r="78" spans="1:24" s="31" customFormat="1" ht="15" customHeight="1">
      <c r="A78" s="99"/>
      <c r="B78" s="32" t="s">
        <v>301</v>
      </c>
      <c r="C78" s="179"/>
      <c r="D78" s="369"/>
      <c r="E78" s="369"/>
      <c r="F78" s="320"/>
      <c r="G78" s="369"/>
      <c r="H78" s="369"/>
      <c r="I78" s="320"/>
      <c r="J78" s="370"/>
      <c r="K78" s="370"/>
      <c r="L78" s="153"/>
      <c r="M78" s="369"/>
      <c r="N78" s="369"/>
      <c r="O78" s="320"/>
      <c r="P78" s="270"/>
      <c r="Q78" s="283"/>
      <c r="R78" s="153"/>
      <c r="S78" s="369"/>
      <c r="T78" s="369"/>
      <c r="U78" s="320"/>
      <c r="V78" s="270"/>
      <c r="W78" s="283"/>
      <c r="X78" s="153"/>
    </row>
    <row r="79" spans="1:24" s="14" customFormat="1" ht="15" customHeight="1">
      <c r="A79" s="99" t="s">
        <v>131</v>
      </c>
      <c r="B79" s="32" t="s">
        <v>308</v>
      </c>
      <c r="C79" s="177"/>
      <c r="D79" s="371">
        <v>2000</v>
      </c>
      <c r="E79" s="371">
        <v>2000</v>
      </c>
      <c r="F79" s="324">
        <f aca="true" t="shared" si="29" ref="F79:F85">E79-D79</f>
        <v>0</v>
      </c>
      <c r="G79" s="371"/>
      <c r="H79" s="371"/>
      <c r="I79" s="324">
        <f aca="true" t="shared" si="30" ref="I79:I85">H79-G79</f>
        <v>0</v>
      </c>
      <c r="J79" s="372"/>
      <c r="K79" s="372"/>
      <c r="L79" s="155"/>
      <c r="M79" s="371">
        <v>2000</v>
      </c>
      <c r="N79" s="371">
        <v>2000</v>
      </c>
      <c r="O79" s="304">
        <f aca="true" t="shared" si="31" ref="O79:O85">N79-M79</f>
        <v>0</v>
      </c>
      <c r="P79" s="262"/>
      <c r="Q79" s="260"/>
      <c r="R79" s="116"/>
      <c r="S79" s="371"/>
      <c r="T79" s="371"/>
      <c r="U79" s="304">
        <f aca="true" t="shared" si="32" ref="U79:U85">T79-S79</f>
        <v>0</v>
      </c>
      <c r="V79" s="262"/>
      <c r="W79" s="260"/>
      <c r="X79" s="116"/>
    </row>
    <row r="80" spans="1:24" s="14" customFormat="1" ht="15" customHeight="1">
      <c r="A80" s="99" t="s">
        <v>132</v>
      </c>
      <c r="B80" s="32" t="s">
        <v>673</v>
      </c>
      <c r="C80" s="177"/>
      <c r="D80" s="371"/>
      <c r="E80" s="371">
        <v>2000</v>
      </c>
      <c r="F80" s="324">
        <f t="shared" si="29"/>
        <v>2000</v>
      </c>
      <c r="G80" s="371"/>
      <c r="H80" s="371"/>
      <c r="I80" s="324">
        <f t="shared" si="30"/>
        <v>0</v>
      </c>
      <c r="J80" s="372"/>
      <c r="K80" s="372"/>
      <c r="L80" s="155"/>
      <c r="M80" s="371"/>
      <c r="N80" s="371"/>
      <c r="O80" s="304">
        <f t="shared" si="31"/>
        <v>0</v>
      </c>
      <c r="P80" s="262"/>
      <c r="Q80" s="260"/>
      <c r="R80" s="116"/>
      <c r="S80" s="371"/>
      <c r="T80" s="371">
        <v>2000</v>
      </c>
      <c r="U80" s="304">
        <f t="shared" si="32"/>
        <v>2000</v>
      </c>
      <c r="V80" s="262"/>
      <c r="W80" s="260"/>
      <c r="X80" s="116"/>
    </row>
    <row r="81" spans="1:24" s="14" customFormat="1" ht="15" customHeight="1">
      <c r="A81" s="99" t="s">
        <v>133</v>
      </c>
      <c r="B81" s="32" t="s">
        <v>364</v>
      </c>
      <c r="C81" s="177"/>
      <c r="D81" s="371">
        <v>2000</v>
      </c>
      <c r="E81" s="371">
        <v>2000</v>
      </c>
      <c r="F81" s="324">
        <f t="shared" si="29"/>
        <v>0</v>
      </c>
      <c r="G81" s="371"/>
      <c r="H81" s="371"/>
      <c r="I81" s="324">
        <f t="shared" si="30"/>
        <v>0</v>
      </c>
      <c r="J81" s="372"/>
      <c r="K81" s="372"/>
      <c r="L81" s="155"/>
      <c r="M81" s="371"/>
      <c r="N81" s="371"/>
      <c r="O81" s="304">
        <f t="shared" si="31"/>
        <v>0</v>
      </c>
      <c r="P81" s="262"/>
      <c r="Q81" s="260"/>
      <c r="R81" s="116"/>
      <c r="S81" s="371">
        <v>2000</v>
      </c>
      <c r="T81" s="371"/>
      <c r="U81" s="304">
        <f t="shared" si="32"/>
        <v>-2000</v>
      </c>
      <c r="V81" s="262"/>
      <c r="W81" s="260"/>
      <c r="X81" s="116"/>
    </row>
    <row r="82" spans="1:24" s="14" customFormat="1" ht="15" customHeight="1">
      <c r="A82" s="99" t="s">
        <v>134</v>
      </c>
      <c r="B82" s="32" t="s">
        <v>365</v>
      </c>
      <c r="C82" s="177"/>
      <c r="D82" s="371">
        <v>2000</v>
      </c>
      <c r="E82" s="371">
        <v>2000</v>
      </c>
      <c r="F82" s="324">
        <f t="shared" si="29"/>
        <v>0</v>
      </c>
      <c r="G82" s="371"/>
      <c r="H82" s="371"/>
      <c r="I82" s="324">
        <f t="shared" si="30"/>
        <v>0</v>
      </c>
      <c r="J82" s="372"/>
      <c r="K82" s="372"/>
      <c r="L82" s="155"/>
      <c r="M82" s="371"/>
      <c r="N82" s="371"/>
      <c r="O82" s="304">
        <f t="shared" si="31"/>
        <v>0</v>
      </c>
      <c r="P82" s="262"/>
      <c r="Q82" s="260"/>
      <c r="R82" s="116"/>
      <c r="S82" s="371"/>
      <c r="T82" s="371"/>
      <c r="U82" s="304">
        <f t="shared" si="32"/>
        <v>0</v>
      </c>
      <c r="V82" s="262"/>
      <c r="W82" s="260"/>
      <c r="X82" s="116"/>
    </row>
    <row r="83" spans="1:24" s="14" customFormat="1" ht="15" customHeight="1">
      <c r="A83" s="99" t="s">
        <v>168</v>
      </c>
      <c r="B83" s="32" t="s">
        <v>366</v>
      </c>
      <c r="C83" s="177"/>
      <c r="D83" s="371">
        <v>2000</v>
      </c>
      <c r="E83" s="371"/>
      <c r="F83" s="324">
        <f t="shared" si="29"/>
        <v>-2000</v>
      </c>
      <c r="G83" s="371"/>
      <c r="H83" s="371"/>
      <c r="I83" s="324">
        <f t="shared" si="30"/>
        <v>0</v>
      </c>
      <c r="J83" s="372"/>
      <c r="K83" s="372"/>
      <c r="L83" s="155"/>
      <c r="M83" s="371"/>
      <c r="N83" s="371"/>
      <c r="O83" s="304">
        <f t="shared" si="31"/>
        <v>0</v>
      </c>
      <c r="P83" s="262"/>
      <c r="Q83" s="260"/>
      <c r="R83" s="116"/>
      <c r="S83" s="395">
        <v>2000</v>
      </c>
      <c r="T83" s="298"/>
      <c r="U83" s="304">
        <f t="shared" si="32"/>
        <v>-2000</v>
      </c>
      <c r="V83" s="262"/>
      <c r="W83" s="260"/>
      <c r="X83" s="116"/>
    </row>
    <row r="84" spans="1:24" s="14" customFormat="1" ht="15" customHeight="1">
      <c r="A84" s="99" t="s">
        <v>135</v>
      </c>
      <c r="B84" s="32" t="s">
        <v>354</v>
      </c>
      <c r="C84" s="177"/>
      <c r="D84" s="371">
        <v>2000</v>
      </c>
      <c r="E84" s="371"/>
      <c r="F84" s="324">
        <f t="shared" si="29"/>
        <v>-2000</v>
      </c>
      <c r="G84" s="371"/>
      <c r="H84" s="371"/>
      <c r="I84" s="324">
        <f t="shared" si="30"/>
        <v>0</v>
      </c>
      <c r="J84" s="372"/>
      <c r="K84" s="372"/>
      <c r="L84" s="155"/>
      <c r="M84" s="297"/>
      <c r="N84" s="298"/>
      <c r="O84" s="304">
        <f t="shared" si="31"/>
        <v>0</v>
      </c>
      <c r="P84" s="262"/>
      <c r="Q84" s="260"/>
      <c r="R84" s="116"/>
      <c r="S84" s="297"/>
      <c r="T84" s="298"/>
      <c r="U84" s="304">
        <f t="shared" si="32"/>
        <v>0</v>
      </c>
      <c r="V84" s="262"/>
      <c r="W84" s="260"/>
      <c r="X84" s="116"/>
    </row>
    <row r="85" spans="1:24" s="8" customFormat="1" ht="15" customHeight="1">
      <c r="A85" s="99" t="s">
        <v>136</v>
      </c>
      <c r="B85" s="87" t="s">
        <v>353</v>
      </c>
      <c r="C85" s="172"/>
      <c r="D85" s="373">
        <v>250</v>
      </c>
      <c r="E85" s="373">
        <v>250</v>
      </c>
      <c r="F85" s="324">
        <f t="shared" si="29"/>
        <v>0</v>
      </c>
      <c r="G85" s="373"/>
      <c r="H85" s="373"/>
      <c r="I85" s="324">
        <f t="shared" si="30"/>
        <v>0</v>
      </c>
      <c r="J85" s="374"/>
      <c r="K85" s="374"/>
      <c r="L85" s="155"/>
      <c r="M85" s="302"/>
      <c r="N85" s="303"/>
      <c r="O85" s="304">
        <f t="shared" si="31"/>
        <v>0</v>
      </c>
      <c r="P85" s="265"/>
      <c r="Q85" s="279"/>
      <c r="R85" s="116"/>
      <c r="S85" s="302"/>
      <c r="T85" s="303"/>
      <c r="U85" s="304">
        <f t="shared" si="32"/>
        <v>0</v>
      </c>
      <c r="V85" s="265"/>
      <c r="W85" s="279"/>
      <c r="X85" s="116"/>
    </row>
    <row r="86" spans="1:24" s="8" customFormat="1" ht="15" customHeight="1">
      <c r="A86" s="103"/>
      <c r="B86" s="87"/>
      <c r="C86" s="176"/>
      <c r="D86" s="375"/>
      <c r="E86" s="375"/>
      <c r="F86" s="376"/>
      <c r="G86" s="375"/>
      <c r="H86" s="375"/>
      <c r="I86" s="376"/>
      <c r="J86" s="377"/>
      <c r="K86" s="377"/>
      <c r="L86" s="378"/>
      <c r="M86" s="310"/>
      <c r="N86" s="311"/>
      <c r="O86" s="312"/>
      <c r="P86" s="268"/>
      <c r="Q86" s="282"/>
      <c r="R86" s="152"/>
      <c r="S86" s="310"/>
      <c r="T86" s="311"/>
      <c r="U86" s="312"/>
      <c r="V86" s="268"/>
      <c r="W86" s="282"/>
      <c r="X86" s="152"/>
    </row>
    <row r="87" spans="1:24" s="39" customFormat="1" ht="178.5" customHeight="1">
      <c r="A87" s="103" t="s">
        <v>137</v>
      </c>
      <c r="B87" s="43" t="s">
        <v>578</v>
      </c>
      <c r="C87" s="187" t="s">
        <v>269</v>
      </c>
      <c r="D87" s="362">
        <f aca="true" t="shared" si="33" ref="D87:I87">SUM(D88:D89)</f>
        <v>27285.479</v>
      </c>
      <c r="E87" s="362">
        <f t="shared" si="33"/>
        <v>7935.478999999999</v>
      </c>
      <c r="F87" s="309">
        <f t="shared" si="33"/>
        <v>-19350</v>
      </c>
      <c r="G87" s="362">
        <f t="shared" si="33"/>
        <v>17350</v>
      </c>
      <c r="H87" s="362">
        <f t="shared" si="33"/>
        <v>0</v>
      </c>
      <c r="I87" s="309">
        <f t="shared" si="33"/>
        <v>-17350</v>
      </c>
      <c r="J87" s="379" t="s">
        <v>187</v>
      </c>
      <c r="K87" s="379" t="s">
        <v>217</v>
      </c>
      <c r="L87" s="203" t="s">
        <v>218</v>
      </c>
      <c r="M87" s="362">
        <f>SUM(M88:M89)</f>
        <v>3000</v>
      </c>
      <c r="N87" s="362">
        <f>SUM(N88:N89)</f>
        <v>1000</v>
      </c>
      <c r="O87" s="309">
        <f>SUM(O88:O89)</f>
        <v>-2000</v>
      </c>
      <c r="P87" s="379" t="s">
        <v>188</v>
      </c>
      <c r="Q87" s="379" t="s">
        <v>219</v>
      </c>
      <c r="R87" s="203" t="s">
        <v>220</v>
      </c>
      <c r="S87" s="362">
        <f>SUM(S88:S89)</f>
        <v>2000</v>
      </c>
      <c r="T87" s="362">
        <f>SUM(T88:T89)</f>
        <v>2000</v>
      </c>
      <c r="U87" s="309">
        <f>SUM(U88:U89)</f>
        <v>0</v>
      </c>
      <c r="V87" s="272"/>
      <c r="W87" s="285"/>
      <c r="X87" s="203"/>
    </row>
    <row r="88" spans="1:24" s="8" customFormat="1" ht="15" customHeight="1">
      <c r="A88" s="103" t="s">
        <v>138</v>
      </c>
      <c r="B88" s="10" t="s">
        <v>289</v>
      </c>
      <c r="C88" s="176"/>
      <c r="D88" s="380">
        <f aca="true" t="shared" si="34" ref="D88:I88">SUM(D91+D92+D93+D94+D95+D96+D97+D98+D99+D100+D101+D103+D104+D105+D106+D107+D108+D109)</f>
        <v>27285.479</v>
      </c>
      <c r="E88" s="380">
        <f t="shared" si="34"/>
        <v>7935.478999999999</v>
      </c>
      <c r="F88" s="381">
        <f t="shared" si="34"/>
        <v>-19350</v>
      </c>
      <c r="G88" s="380">
        <f t="shared" si="34"/>
        <v>17350</v>
      </c>
      <c r="H88" s="380">
        <f t="shared" si="34"/>
        <v>0</v>
      </c>
      <c r="I88" s="381">
        <f t="shared" si="34"/>
        <v>-17350</v>
      </c>
      <c r="J88" s="382"/>
      <c r="K88" s="382"/>
      <c r="L88" s="383"/>
      <c r="M88" s="413">
        <f>SUM(M91+M92+M93+M94+M95+M96+M97+M98+M99+M100+M101+M103+M104+M105+M106+M107+M108+M109)</f>
        <v>3000</v>
      </c>
      <c r="N88" s="413">
        <f>SUM(N91+N92+N93+N94+N95+N96+N97+N98+N99+N100+N101+N103+N104+N105+N106+N107+N108+N109)</f>
        <v>1000</v>
      </c>
      <c r="O88" s="312">
        <f>SUM(O91+O92+O93+O94+O95+O96+O97+O98+O99+O100+O101+O103+O104+O105+O106+O107+O108+O109)</f>
        <v>-2000</v>
      </c>
      <c r="P88" s="273"/>
      <c r="Q88" s="286"/>
      <c r="R88" s="158"/>
      <c r="S88" s="413">
        <f>SUM(S91+S92+S93+S94+S95+S96+S97+S98+S99+S100+S101+S103+S104+S105+S106+S107+S108+S109)</f>
        <v>2000</v>
      </c>
      <c r="T88" s="413">
        <f>SUM(T91+T92+T93+T94+T95+T96+T97+T98+T99+T100+T101+T103+T104+T105+T106+T107+T108+T109)</f>
        <v>2000</v>
      </c>
      <c r="U88" s="317">
        <f>SUM(U91+U92+U93+U94+U95+U96+U97+U98+U99+U100+U101+U103+U104+U105+U106+U107+U108+U109)</f>
        <v>0</v>
      </c>
      <c r="V88" s="273"/>
      <c r="W88" s="286"/>
      <c r="X88" s="158"/>
    </row>
    <row r="89" spans="1:24" s="8" customFormat="1" ht="15" customHeight="1">
      <c r="A89" s="103" t="s">
        <v>139</v>
      </c>
      <c r="B89" s="10" t="s">
        <v>291</v>
      </c>
      <c r="C89" s="176"/>
      <c r="D89" s="380"/>
      <c r="E89" s="380"/>
      <c r="F89" s="381"/>
      <c r="G89" s="384"/>
      <c r="H89" s="384"/>
      <c r="I89" s="381"/>
      <c r="J89" s="382"/>
      <c r="K89" s="382"/>
      <c r="L89" s="383"/>
      <c r="M89" s="461"/>
      <c r="N89" s="461"/>
      <c r="O89" s="312"/>
      <c r="P89" s="273"/>
      <c r="Q89" s="286"/>
      <c r="R89" s="158"/>
      <c r="S89" s="461"/>
      <c r="T89" s="461"/>
      <c r="U89" s="317"/>
      <c r="V89" s="273"/>
      <c r="W89" s="286"/>
      <c r="X89" s="158"/>
    </row>
    <row r="90" spans="1:24" s="13" customFormat="1" ht="15.75">
      <c r="A90" s="100"/>
      <c r="B90" s="10" t="s">
        <v>302</v>
      </c>
      <c r="C90" s="180"/>
      <c r="D90" s="385"/>
      <c r="E90" s="385"/>
      <c r="F90" s="323"/>
      <c r="G90" s="369"/>
      <c r="H90" s="369"/>
      <c r="I90" s="323"/>
      <c r="J90" s="370"/>
      <c r="K90" s="370"/>
      <c r="L90" s="153"/>
      <c r="M90" s="369"/>
      <c r="N90" s="369"/>
      <c r="O90" s="323"/>
      <c r="P90" s="270"/>
      <c r="Q90" s="283"/>
      <c r="R90" s="153"/>
      <c r="S90" s="369"/>
      <c r="T90" s="369"/>
      <c r="U90" s="323"/>
      <c r="V90" s="270"/>
      <c r="W90" s="283"/>
      <c r="X90" s="153"/>
    </row>
    <row r="91" spans="1:24" s="8" customFormat="1" ht="15.75">
      <c r="A91" s="103" t="s">
        <v>140</v>
      </c>
      <c r="B91" s="10" t="s">
        <v>367</v>
      </c>
      <c r="C91" s="177"/>
      <c r="D91" s="371">
        <v>5000</v>
      </c>
      <c r="E91" s="371"/>
      <c r="F91" s="324">
        <f aca="true" t="shared" si="35" ref="F91:F101">E91-D91</f>
        <v>-5000</v>
      </c>
      <c r="G91" s="371">
        <v>5000</v>
      </c>
      <c r="H91" s="371"/>
      <c r="I91" s="324">
        <f aca="true" t="shared" si="36" ref="I91:I101">H91-G91</f>
        <v>-5000</v>
      </c>
      <c r="J91" s="372"/>
      <c r="K91" s="372"/>
      <c r="L91" s="121"/>
      <c r="M91" s="371"/>
      <c r="N91" s="371"/>
      <c r="O91" s="304">
        <f aca="true" t="shared" si="37" ref="O91:O99">N91-M91</f>
        <v>0</v>
      </c>
      <c r="P91" s="262"/>
      <c r="Q91" s="260"/>
      <c r="R91" s="111"/>
      <c r="S91" s="371"/>
      <c r="T91" s="371"/>
      <c r="U91" s="324">
        <f aca="true" t="shared" si="38" ref="U91:U99">T91-S91</f>
        <v>0</v>
      </c>
      <c r="V91" s="262"/>
      <c r="W91" s="260"/>
      <c r="X91" s="111"/>
    </row>
    <row r="92" spans="1:24" s="8" customFormat="1" ht="15.75">
      <c r="A92" s="103" t="s">
        <v>141</v>
      </c>
      <c r="B92" s="10" t="s">
        <v>309</v>
      </c>
      <c r="C92" s="177"/>
      <c r="D92" s="371">
        <v>2144</v>
      </c>
      <c r="E92" s="371">
        <v>2144</v>
      </c>
      <c r="F92" s="324">
        <f t="shared" si="35"/>
        <v>0</v>
      </c>
      <c r="G92" s="371"/>
      <c r="H92" s="371"/>
      <c r="I92" s="324">
        <f t="shared" si="36"/>
        <v>0</v>
      </c>
      <c r="J92" s="372"/>
      <c r="K92" s="372"/>
      <c r="L92" s="121"/>
      <c r="M92" s="371"/>
      <c r="N92" s="371"/>
      <c r="O92" s="304">
        <f t="shared" si="37"/>
        <v>0</v>
      </c>
      <c r="P92" s="262"/>
      <c r="Q92" s="260"/>
      <c r="R92" s="111"/>
      <c r="S92" s="371"/>
      <c r="T92" s="371"/>
      <c r="U92" s="324">
        <f t="shared" si="38"/>
        <v>0</v>
      </c>
      <c r="V92" s="262"/>
      <c r="W92" s="260"/>
      <c r="X92" s="111"/>
    </row>
    <row r="93" spans="1:24" s="8" customFormat="1" ht="15" customHeight="1">
      <c r="A93" s="103" t="s">
        <v>142</v>
      </c>
      <c r="B93" s="10" t="s">
        <v>368</v>
      </c>
      <c r="C93" s="177"/>
      <c r="D93" s="371">
        <f>8260-3260</f>
        <v>5000</v>
      </c>
      <c r="E93" s="371"/>
      <c r="F93" s="324">
        <f t="shared" si="35"/>
        <v>-5000</v>
      </c>
      <c r="G93" s="371">
        <v>5000</v>
      </c>
      <c r="H93" s="371"/>
      <c r="I93" s="324">
        <f t="shared" si="36"/>
        <v>-5000</v>
      </c>
      <c r="J93" s="372"/>
      <c r="K93" s="372"/>
      <c r="L93" s="121"/>
      <c r="M93" s="371"/>
      <c r="N93" s="371"/>
      <c r="O93" s="304">
        <f t="shared" si="37"/>
        <v>0</v>
      </c>
      <c r="P93" s="262"/>
      <c r="Q93" s="260"/>
      <c r="R93" s="111"/>
      <c r="S93" s="371"/>
      <c r="T93" s="371"/>
      <c r="U93" s="324">
        <f t="shared" si="38"/>
        <v>0</v>
      </c>
      <c r="V93" s="262"/>
      <c r="W93" s="260"/>
      <c r="X93" s="111"/>
    </row>
    <row r="94" spans="1:24" s="8" customFormat="1" ht="15" customHeight="1">
      <c r="A94" s="103" t="s">
        <v>143</v>
      </c>
      <c r="B94" s="90" t="s">
        <v>671</v>
      </c>
      <c r="C94" s="177"/>
      <c r="D94" s="371">
        <v>1000</v>
      </c>
      <c r="E94" s="371">
        <v>1000</v>
      </c>
      <c r="F94" s="324">
        <f t="shared" si="35"/>
        <v>0</v>
      </c>
      <c r="G94" s="371"/>
      <c r="H94" s="371"/>
      <c r="I94" s="324">
        <f t="shared" si="36"/>
        <v>0</v>
      </c>
      <c r="J94" s="372"/>
      <c r="K94" s="372"/>
      <c r="L94" s="121"/>
      <c r="M94" s="371">
        <v>1000</v>
      </c>
      <c r="N94" s="371">
        <v>1000</v>
      </c>
      <c r="O94" s="304">
        <f t="shared" si="37"/>
        <v>0</v>
      </c>
      <c r="P94" s="262"/>
      <c r="Q94" s="260"/>
      <c r="R94" s="111"/>
      <c r="S94" s="371"/>
      <c r="T94" s="371"/>
      <c r="U94" s="324">
        <f t="shared" si="38"/>
        <v>0</v>
      </c>
      <c r="V94" s="262"/>
      <c r="W94" s="260"/>
      <c r="X94" s="111"/>
    </row>
    <row r="95" spans="1:24" s="8" customFormat="1" ht="15" customHeight="1">
      <c r="A95" s="103" t="s">
        <v>144</v>
      </c>
      <c r="B95" s="10" t="s">
        <v>159</v>
      </c>
      <c r="C95" s="177"/>
      <c r="D95" s="371"/>
      <c r="E95" s="371">
        <v>2000</v>
      </c>
      <c r="F95" s="324">
        <f t="shared" si="35"/>
        <v>2000</v>
      </c>
      <c r="G95" s="371"/>
      <c r="H95" s="371"/>
      <c r="I95" s="324">
        <f t="shared" si="36"/>
        <v>0</v>
      </c>
      <c r="J95" s="372"/>
      <c r="K95" s="372"/>
      <c r="L95" s="121"/>
      <c r="M95" s="371"/>
      <c r="N95" s="371"/>
      <c r="O95" s="304">
        <f t="shared" si="37"/>
        <v>0</v>
      </c>
      <c r="P95" s="262"/>
      <c r="Q95" s="260"/>
      <c r="R95" s="111"/>
      <c r="S95" s="371"/>
      <c r="T95" s="371">
        <v>2000</v>
      </c>
      <c r="U95" s="324">
        <f t="shared" si="38"/>
        <v>2000</v>
      </c>
      <c r="V95" s="262"/>
      <c r="W95" s="260"/>
      <c r="X95" s="111"/>
    </row>
    <row r="96" spans="1:24" s="8" customFormat="1" ht="15" customHeight="1">
      <c r="A96" s="103" t="s">
        <v>91</v>
      </c>
      <c r="B96" s="10" t="s">
        <v>369</v>
      </c>
      <c r="C96" s="177"/>
      <c r="D96" s="371">
        <v>2441.479</v>
      </c>
      <c r="E96" s="371">
        <v>2441.479</v>
      </c>
      <c r="F96" s="324">
        <f t="shared" si="35"/>
        <v>0</v>
      </c>
      <c r="G96" s="371"/>
      <c r="H96" s="371"/>
      <c r="I96" s="324">
        <f t="shared" si="36"/>
        <v>0</v>
      </c>
      <c r="J96" s="372"/>
      <c r="K96" s="372"/>
      <c r="L96" s="121"/>
      <c r="M96" s="371"/>
      <c r="N96" s="371"/>
      <c r="O96" s="304">
        <f t="shared" si="37"/>
        <v>0</v>
      </c>
      <c r="P96" s="262"/>
      <c r="Q96" s="260"/>
      <c r="R96" s="111"/>
      <c r="S96" s="371"/>
      <c r="T96" s="371"/>
      <c r="U96" s="324">
        <f t="shared" si="38"/>
        <v>0</v>
      </c>
      <c r="V96" s="262"/>
      <c r="W96" s="260"/>
      <c r="X96" s="111"/>
    </row>
    <row r="97" spans="1:24" s="8" customFormat="1" ht="15" customHeight="1">
      <c r="A97" s="103" t="s">
        <v>92</v>
      </c>
      <c r="B97" s="10" t="s">
        <v>370</v>
      </c>
      <c r="C97" s="177"/>
      <c r="D97" s="371">
        <v>1000</v>
      </c>
      <c r="E97" s="371"/>
      <c r="F97" s="324">
        <f t="shared" si="35"/>
        <v>-1000</v>
      </c>
      <c r="G97" s="371">
        <v>1000</v>
      </c>
      <c r="H97" s="371"/>
      <c r="I97" s="324">
        <f t="shared" si="36"/>
        <v>-1000</v>
      </c>
      <c r="J97" s="372"/>
      <c r="K97" s="372"/>
      <c r="L97" s="121"/>
      <c r="M97" s="371"/>
      <c r="N97" s="371"/>
      <c r="O97" s="304">
        <f t="shared" si="37"/>
        <v>0</v>
      </c>
      <c r="P97" s="262"/>
      <c r="Q97" s="260"/>
      <c r="R97" s="111"/>
      <c r="S97" s="371"/>
      <c r="T97" s="371"/>
      <c r="U97" s="324">
        <f t="shared" si="38"/>
        <v>0</v>
      </c>
      <c r="V97" s="262"/>
      <c r="W97" s="260"/>
      <c r="X97" s="111"/>
    </row>
    <row r="98" spans="1:24" s="8" customFormat="1" ht="15" customHeight="1">
      <c r="A98" s="103" t="s">
        <v>93</v>
      </c>
      <c r="B98" s="10" t="s">
        <v>371</v>
      </c>
      <c r="C98" s="177"/>
      <c r="D98" s="371">
        <v>2000</v>
      </c>
      <c r="E98" s="371"/>
      <c r="F98" s="324">
        <f t="shared" si="35"/>
        <v>-2000</v>
      </c>
      <c r="G98" s="371"/>
      <c r="H98" s="371"/>
      <c r="I98" s="324">
        <f t="shared" si="36"/>
        <v>0</v>
      </c>
      <c r="J98" s="372"/>
      <c r="K98" s="372"/>
      <c r="L98" s="121"/>
      <c r="M98" s="371"/>
      <c r="N98" s="371"/>
      <c r="O98" s="304">
        <f t="shared" si="37"/>
        <v>0</v>
      </c>
      <c r="P98" s="262"/>
      <c r="Q98" s="260"/>
      <c r="R98" s="111"/>
      <c r="S98" s="371">
        <v>2000</v>
      </c>
      <c r="T98" s="371"/>
      <c r="U98" s="324">
        <f t="shared" si="38"/>
        <v>-2000</v>
      </c>
      <c r="V98" s="262"/>
      <c r="W98" s="260"/>
      <c r="X98" s="111"/>
    </row>
    <row r="99" spans="1:24" s="8" customFormat="1" ht="15" customHeight="1">
      <c r="A99" s="103" t="s">
        <v>94</v>
      </c>
      <c r="B99" s="10" t="s">
        <v>372</v>
      </c>
      <c r="C99" s="177"/>
      <c r="D99" s="371">
        <v>3500</v>
      </c>
      <c r="E99" s="371"/>
      <c r="F99" s="324">
        <f t="shared" si="35"/>
        <v>-3500</v>
      </c>
      <c r="G99" s="371">
        <v>3500</v>
      </c>
      <c r="H99" s="371"/>
      <c r="I99" s="324">
        <f t="shared" si="36"/>
        <v>-3500</v>
      </c>
      <c r="J99" s="372"/>
      <c r="K99" s="372"/>
      <c r="L99" s="121"/>
      <c r="M99" s="371"/>
      <c r="N99" s="371"/>
      <c r="O99" s="304">
        <f t="shared" si="37"/>
        <v>0</v>
      </c>
      <c r="P99" s="262"/>
      <c r="Q99" s="260"/>
      <c r="R99" s="111"/>
      <c r="S99" s="371"/>
      <c r="T99" s="371"/>
      <c r="U99" s="324">
        <f t="shared" si="38"/>
        <v>0</v>
      </c>
      <c r="V99" s="262"/>
      <c r="W99" s="260"/>
      <c r="X99" s="111"/>
    </row>
    <row r="100" spans="1:24" s="8" customFormat="1" ht="15" customHeight="1">
      <c r="A100" s="103" t="s">
        <v>95</v>
      </c>
      <c r="B100" s="10" t="s">
        <v>373</v>
      </c>
      <c r="C100" s="177"/>
      <c r="D100" s="371"/>
      <c r="E100" s="371"/>
      <c r="F100" s="324"/>
      <c r="G100" s="371"/>
      <c r="H100" s="371"/>
      <c r="I100" s="324"/>
      <c r="J100" s="372"/>
      <c r="K100" s="372"/>
      <c r="L100" s="121"/>
      <c r="M100" s="371"/>
      <c r="N100" s="371"/>
      <c r="O100" s="304"/>
      <c r="P100" s="262"/>
      <c r="Q100" s="260"/>
      <c r="R100" s="111"/>
      <c r="S100" s="371"/>
      <c r="T100" s="371"/>
      <c r="U100" s="324"/>
      <c r="V100" s="262"/>
      <c r="W100" s="260"/>
      <c r="X100" s="111"/>
    </row>
    <row r="101" spans="1:24" s="8" customFormat="1" ht="15" customHeight="1">
      <c r="A101" s="103" t="s">
        <v>96</v>
      </c>
      <c r="B101" s="10" t="s">
        <v>85</v>
      </c>
      <c r="C101" s="177"/>
      <c r="D101" s="371">
        <v>2850</v>
      </c>
      <c r="E101" s="371"/>
      <c r="F101" s="324">
        <f t="shared" si="35"/>
        <v>-2850</v>
      </c>
      <c r="G101" s="371">
        <v>850</v>
      </c>
      <c r="H101" s="371"/>
      <c r="I101" s="324">
        <f t="shared" si="36"/>
        <v>-850</v>
      </c>
      <c r="J101" s="372"/>
      <c r="K101" s="372"/>
      <c r="L101" s="121"/>
      <c r="M101" s="371">
        <v>2000</v>
      </c>
      <c r="N101" s="371"/>
      <c r="O101" s="304">
        <f>N101-M101</f>
        <v>-2000</v>
      </c>
      <c r="P101" s="262"/>
      <c r="Q101" s="260"/>
      <c r="R101" s="111"/>
      <c r="S101" s="297"/>
      <c r="T101" s="298"/>
      <c r="U101" s="304">
        <f>T101-S101</f>
        <v>0</v>
      </c>
      <c r="V101" s="262"/>
      <c r="W101" s="260"/>
      <c r="X101" s="111"/>
    </row>
    <row r="102" spans="1:24" s="8" customFormat="1" ht="35.25" customHeight="1">
      <c r="A102" s="103"/>
      <c r="B102" s="10" t="s">
        <v>350</v>
      </c>
      <c r="C102" s="177"/>
      <c r="D102" s="371"/>
      <c r="E102" s="371"/>
      <c r="F102" s="314"/>
      <c r="G102" s="371"/>
      <c r="H102" s="371"/>
      <c r="I102" s="314"/>
      <c r="J102" s="372"/>
      <c r="K102" s="372"/>
      <c r="L102" s="121"/>
      <c r="M102" s="297"/>
      <c r="N102" s="298"/>
      <c r="O102" s="314"/>
      <c r="P102" s="262"/>
      <c r="Q102" s="260"/>
      <c r="R102" s="121"/>
      <c r="S102" s="297"/>
      <c r="T102" s="298"/>
      <c r="U102" s="314"/>
      <c r="V102" s="262"/>
      <c r="W102" s="260"/>
      <c r="X102" s="121"/>
    </row>
    <row r="103" spans="1:24" s="8" customFormat="1" ht="15" customHeight="1">
      <c r="A103" s="103" t="s">
        <v>97</v>
      </c>
      <c r="B103" s="12" t="s">
        <v>672</v>
      </c>
      <c r="C103" s="177"/>
      <c r="D103" s="371">
        <v>250</v>
      </c>
      <c r="E103" s="371">
        <v>250</v>
      </c>
      <c r="F103" s="324">
        <f aca="true" t="shared" si="39" ref="F103:F109">E103-D103</f>
        <v>0</v>
      </c>
      <c r="G103" s="371"/>
      <c r="H103" s="371"/>
      <c r="I103" s="324">
        <f aca="true" t="shared" si="40" ref="I103:I109">H103-G103</f>
        <v>0</v>
      </c>
      <c r="J103" s="372"/>
      <c r="K103" s="372"/>
      <c r="L103" s="121"/>
      <c r="M103" s="297"/>
      <c r="N103" s="298"/>
      <c r="O103" s="304">
        <f aca="true" t="shared" si="41" ref="O103:O109">N103-M103</f>
        <v>0</v>
      </c>
      <c r="P103" s="262"/>
      <c r="Q103" s="260"/>
      <c r="R103" s="111"/>
      <c r="S103" s="297"/>
      <c r="T103" s="298"/>
      <c r="U103" s="304">
        <f aca="true" t="shared" si="42" ref="U103:U109">T103-S103</f>
        <v>0</v>
      </c>
      <c r="V103" s="262"/>
      <c r="W103" s="260"/>
      <c r="X103" s="111"/>
    </row>
    <row r="104" spans="1:24" s="8" customFormat="1" ht="15" customHeight="1">
      <c r="A104" s="103" t="s">
        <v>98</v>
      </c>
      <c r="B104" s="12" t="s">
        <v>354</v>
      </c>
      <c r="C104" s="177"/>
      <c r="D104" s="371">
        <v>300</v>
      </c>
      <c r="E104" s="371"/>
      <c r="F104" s="324">
        <f t="shared" si="39"/>
        <v>-300</v>
      </c>
      <c r="G104" s="371">
        <v>300</v>
      </c>
      <c r="H104" s="371"/>
      <c r="I104" s="324">
        <f t="shared" si="40"/>
        <v>-300</v>
      </c>
      <c r="J104" s="372"/>
      <c r="K104" s="372"/>
      <c r="L104" s="121"/>
      <c r="M104" s="297"/>
      <c r="N104" s="298"/>
      <c r="O104" s="304">
        <f t="shared" si="41"/>
        <v>0</v>
      </c>
      <c r="P104" s="262"/>
      <c r="Q104" s="260"/>
      <c r="R104" s="111"/>
      <c r="S104" s="297"/>
      <c r="T104" s="298"/>
      <c r="U104" s="304">
        <f t="shared" si="42"/>
        <v>0</v>
      </c>
      <c r="V104" s="262"/>
      <c r="W104" s="260"/>
      <c r="X104" s="111"/>
    </row>
    <row r="105" spans="1:24" s="8" customFormat="1" ht="15" customHeight="1">
      <c r="A105" s="103" t="s">
        <v>99</v>
      </c>
      <c r="B105" s="12" t="s">
        <v>89</v>
      </c>
      <c r="C105" s="177"/>
      <c r="D105" s="371">
        <v>300</v>
      </c>
      <c r="E105" s="371"/>
      <c r="F105" s="324">
        <f t="shared" si="39"/>
        <v>-300</v>
      </c>
      <c r="G105" s="371">
        <v>300</v>
      </c>
      <c r="H105" s="371"/>
      <c r="I105" s="324">
        <f t="shared" si="40"/>
        <v>-300</v>
      </c>
      <c r="J105" s="372"/>
      <c r="K105" s="372"/>
      <c r="L105" s="121"/>
      <c r="M105" s="297"/>
      <c r="N105" s="298"/>
      <c r="O105" s="304">
        <f t="shared" si="41"/>
        <v>0</v>
      </c>
      <c r="P105" s="262"/>
      <c r="Q105" s="260"/>
      <c r="R105" s="111"/>
      <c r="S105" s="297"/>
      <c r="T105" s="298"/>
      <c r="U105" s="304">
        <f t="shared" si="42"/>
        <v>0</v>
      </c>
      <c r="V105" s="262"/>
      <c r="W105" s="260"/>
      <c r="X105" s="111"/>
    </row>
    <row r="106" spans="1:24" s="8" customFormat="1" ht="15" customHeight="1">
      <c r="A106" s="103" t="s">
        <v>100</v>
      </c>
      <c r="B106" s="12" t="s">
        <v>673</v>
      </c>
      <c r="C106" s="177"/>
      <c r="D106" s="371">
        <v>100</v>
      </c>
      <c r="E106" s="371">
        <v>100</v>
      </c>
      <c r="F106" s="324">
        <f t="shared" si="39"/>
        <v>0</v>
      </c>
      <c r="G106" s="371"/>
      <c r="H106" s="371"/>
      <c r="I106" s="324">
        <f t="shared" si="40"/>
        <v>0</v>
      </c>
      <c r="J106" s="372"/>
      <c r="K106" s="372"/>
      <c r="L106" s="121"/>
      <c r="M106" s="297"/>
      <c r="N106" s="298"/>
      <c r="O106" s="304">
        <f t="shared" si="41"/>
        <v>0</v>
      </c>
      <c r="P106" s="262"/>
      <c r="Q106" s="260"/>
      <c r="R106" s="111"/>
      <c r="S106" s="297"/>
      <c r="T106" s="298"/>
      <c r="U106" s="304">
        <f t="shared" si="42"/>
        <v>0</v>
      </c>
      <c r="V106" s="262"/>
      <c r="W106" s="260"/>
      <c r="X106" s="111"/>
    </row>
    <row r="107" spans="1:24" s="8" customFormat="1" ht="15" customHeight="1">
      <c r="A107" s="103" t="s">
        <v>101</v>
      </c>
      <c r="B107" s="12" t="s">
        <v>374</v>
      </c>
      <c r="C107" s="177"/>
      <c r="D107" s="371">
        <v>400</v>
      </c>
      <c r="E107" s="371"/>
      <c r="F107" s="324">
        <f t="shared" si="39"/>
        <v>-400</v>
      </c>
      <c r="G107" s="371">
        <v>400</v>
      </c>
      <c r="H107" s="371"/>
      <c r="I107" s="324">
        <f t="shared" si="40"/>
        <v>-400</v>
      </c>
      <c r="J107" s="372"/>
      <c r="K107" s="372"/>
      <c r="L107" s="121"/>
      <c r="M107" s="297"/>
      <c r="N107" s="298"/>
      <c r="O107" s="304">
        <f t="shared" si="41"/>
        <v>0</v>
      </c>
      <c r="P107" s="262"/>
      <c r="Q107" s="260"/>
      <c r="R107" s="111"/>
      <c r="S107" s="297"/>
      <c r="T107" s="298"/>
      <c r="U107" s="304">
        <f t="shared" si="42"/>
        <v>0</v>
      </c>
      <c r="V107" s="262"/>
      <c r="W107" s="260"/>
      <c r="X107" s="111"/>
    </row>
    <row r="108" spans="1:24" s="8" customFormat="1" ht="15" customHeight="1">
      <c r="A108" s="103" t="s">
        <v>102</v>
      </c>
      <c r="B108" s="12" t="s">
        <v>365</v>
      </c>
      <c r="C108" s="177"/>
      <c r="D108" s="371">
        <v>500</v>
      </c>
      <c r="E108" s="371"/>
      <c r="F108" s="324">
        <f t="shared" si="39"/>
        <v>-500</v>
      </c>
      <c r="G108" s="371">
        <v>500</v>
      </c>
      <c r="H108" s="371"/>
      <c r="I108" s="324">
        <f t="shared" si="40"/>
        <v>-500</v>
      </c>
      <c r="J108" s="372"/>
      <c r="K108" s="372"/>
      <c r="L108" s="121"/>
      <c r="M108" s="297"/>
      <c r="N108" s="298"/>
      <c r="O108" s="304">
        <f t="shared" si="41"/>
        <v>0</v>
      </c>
      <c r="P108" s="262"/>
      <c r="Q108" s="260"/>
      <c r="R108" s="111"/>
      <c r="S108" s="297"/>
      <c r="T108" s="298"/>
      <c r="U108" s="304">
        <f t="shared" si="42"/>
        <v>0</v>
      </c>
      <c r="V108" s="262"/>
      <c r="W108" s="260"/>
      <c r="X108" s="111"/>
    </row>
    <row r="109" spans="1:24" s="8" customFormat="1" ht="15" customHeight="1">
      <c r="A109" s="103" t="s">
        <v>103</v>
      </c>
      <c r="B109" s="12" t="s">
        <v>90</v>
      </c>
      <c r="C109" s="177"/>
      <c r="D109" s="371">
        <v>500</v>
      </c>
      <c r="E109" s="371"/>
      <c r="F109" s="324">
        <f t="shared" si="39"/>
        <v>-500</v>
      </c>
      <c r="G109" s="371">
        <v>500</v>
      </c>
      <c r="H109" s="371"/>
      <c r="I109" s="324">
        <f t="shared" si="40"/>
        <v>-500</v>
      </c>
      <c r="J109" s="372"/>
      <c r="K109" s="372"/>
      <c r="L109" s="121"/>
      <c r="M109" s="297"/>
      <c r="N109" s="298"/>
      <c r="O109" s="304">
        <f t="shared" si="41"/>
        <v>0</v>
      </c>
      <c r="P109" s="262"/>
      <c r="Q109" s="260"/>
      <c r="R109" s="111"/>
      <c r="S109" s="297"/>
      <c r="T109" s="298"/>
      <c r="U109" s="304">
        <f t="shared" si="42"/>
        <v>0</v>
      </c>
      <c r="V109" s="262"/>
      <c r="W109" s="260"/>
      <c r="X109" s="111"/>
    </row>
    <row r="110" spans="1:24" s="8" customFormat="1" ht="15" customHeight="1">
      <c r="A110" s="103"/>
      <c r="B110" s="10"/>
      <c r="C110" s="176"/>
      <c r="D110" s="373"/>
      <c r="E110" s="373"/>
      <c r="F110" s="324"/>
      <c r="G110" s="371"/>
      <c r="H110" s="371"/>
      <c r="I110" s="324"/>
      <c r="J110" s="372"/>
      <c r="K110" s="372"/>
      <c r="L110" s="121"/>
      <c r="M110" s="297"/>
      <c r="N110" s="298"/>
      <c r="O110" s="316"/>
      <c r="P110" s="262"/>
      <c r="Q110" s="260"/>
      <c r="R110" s="95"/>
      <c r="S110" s="297"/>
      <c r="T110" s="298"/>
      <c r="U110" s="316"/>
      <c r="V110" s="262"/>
      <c r="W110" s="260"/>
      <c r="X110" s="95"/>
    </row>
    <row r="111" spans="1:24" s="39" customFormat="1" ht="174" customHeight="1">
      <c r="A111" s="103" t="s">
        <v>104</v>
      </c>
      <c r="B111" s="37" t="s">
        <v>579</v>
      </c>
      <c r="C111" s="189" t="s">
        <v>69</v>
      </c>
      <c r="D111" s="360">
        <f aca="true" t="shared" si="43" ref="D111:I111">SUM(D112)</f>
        <v>862278.8</v>
      </c>
      <c r="E111" s="360">
        <f t="shared" si="43"/>
        <v>485349.8</v>
      </c>
      <c r="F111" s="308">
        <f t="shared" si="43"/>
        <v>-376929.00000000006</v>
      </c>
      <c r="G111" s="360">
        <f t="shared" si="43"/>
        <v>0</v>
      </c>
      <c r="H111" s="360">
        <f t="shared" si="43"/>
        <v>0</v>
      </c>
      <c r="I111" s="308">
        <f t="shared" si="43"/>
        <v>0</v>
      </c>
      <c r="J111" s="379" t="s">
        <v>189</v>
      </c>
      <c r="K111" s="379" t="s">
        <v>221</v>
      </c>
      <c r="L111" s="203" t="s">
        <v>222</v>
      </c>
      <c r="M111" s="360">
        <f>SUM(M112)</f>
        <v>0</v>
      </c>
      <c r="N111" s="360">
        <f>SUM(N112)</f>
        <v>0</v>
      </c>
      <c r="O111" s="308">
        <f>SUM(O112)</f>
        <v>0</v>
      </c>
      <c r="P111" s="379" t="s">
        <v>190</v>
      </c>
      <c r="Q111" s="379" t="s">
        <v>223</v>
      </c>
      <c r="R111" s="203" t="s">
        <v>225</v>
      </c>
      <c r="S111" s="360">
        <f>SUM(S112)</f>
        <v>0</v>
      </c>
      <c r="T111" s="360">
        <f>SUM(T112)</f>
        <v>0</v>
      </c>
      <c r="U111" s="308">
        <f>SUM(U112)</f>
        <v>0</v>
      </c>
      <c r="V111" s="379" t="s">
        <v>191</v>
      </c>
      <c r="W111" s="379" t="s">
        <v>226</v>
      </c>
      <c r="X111" s="203" t="s">
        <v>227</v>
      </c>
    </row>
    <row r="112" spans="1:24" s="8" customFormat="1" ht="15" customHeight="1">
      <c r="A112" s="103" t="s">
        <v>105</v>
      </c>
      <c r="B112" s="10" t="s">
        <v>291</v>
      </c>
      <c r="C112" s="176"/>
      <c r="D112" s="386">
        <f>863504-1225.2</f>
        <v>862278.8</v>
      </c>
      <c r="E112" s="386">
        <f>485349.8</f>
        <v>485349.8</v>
      </c>
      <c r="F112" s="387">
        <f>E112-D112</f>
        <v>-376929.00000000006</v>
      </c>
      <c r="G112" s="386"/>
      <c r="H112" s="386"/>
      <c r="I112" s="387">
        <f>H112-G112</f>
        <v>0</v>
      </c>
      <c r="J112" s="388"/>
      <c r="K112" s="388"/>
      <c r="L112" s="389"/>
      <c r="M112" s="386"/>
      <c r="N112" s="386"/>
      <c r="O112" s="387">
        <f>N112-M112</f>
        <v>0</v>
      </c>
      <c r="P112" s="388"/>
      <c r="Q112" s="388"/>
      <c r="R112" s="389"/>
      <c r="S112" s="386"/>
      <c r="T112" s="386"/>
      <c r="U112" s="387">
        <f>T112-S112</f>
        <v>0</v>
      </c>
      <c r="V112" s="388"/>
      <c r="W112" s="388"/>
      <c r="X112" s="116"/>
    </row>
    <row r="113" spans="1:24" s="8" customFormat="1" ht="15" customHeight="1">
      <c r="A113" s="103"/>
      <c r="B113" s="89"/>
      <c r="C113" s="176"/>
      <c r="D113" s="386"/>
      <c r="E113" s="386"/>
      <c r="F113" s="390"/>
      <c r="G113" s="386"/>
      <c r="H113" s="386"/>
      <c r="I113" s="390"/>
      <c r="J113" s="388"/>
      <c r="K113" s="388"/>
      <c r="L113" s="391"/>
      <c r="M113" s="386"/>
      <c r="N113" s="386"/>
      <c r="O113" s="390"/>
      <c r="P113" s="388"/>
      <c r="Q113" s="388"/>
      <c r="R113" s="391"/>
      <c r="S113" s="386"/>
      <c r="T113" s="386"/>
      <c r="U113" s="390"/>
      <c r="V113" s="388"/>
      <c r="W113" s="388"/>
      <c r="X113" s="95"/>
    </row>
    <row r="114" spans="1:24" s="39" customFormat="1" ht="180.75" customHeight="1">
      <c r="A114" s="104" t="s">
        <v>106</v>
      </c>
      <c r="B114" s="38" t="s">
        <v>580</v>
      </c>
      <c r="C114" s="189" t="s">
        <v>40</v>
      </c>
      <c r="D114" s="360">
        <f aca="true" t="shared" si="44" ref="D114:I114">SUM(D115:D117)</f>
        <v>1044189.032</v>
      </c>
      <c r="E114" s="360">
        <f t="shared" si="44"/>
        <v>824450.732</v>
      </c>
      <c r="F114" s="308">
        <f t="shared" si="44"/>
        <v>-219738.30000000005</v>
      </c>
      <c r="G114" s="360">
        <f t="shared" si="44"/>
        <v>108826</v>
      </c>
      <c r="H114" s="360">
        <f t="shared" si="44"/>
        <v>82947.7</v>
      </c>
      <c r="I114" s="308">
        <f t="shared" si="44"/>
        <v>-25878.300000000003</v>
      </c>
      <c r="J114" s="379" t="s">
        <v>189</v>
      </c>
      <c r="K114" s="379" t="s">
        <v>221</v>
      </c>
      <c r="L114" s="203" t="s">
        <v>222</v>
      </c>
      <c r="M114" s="360">
        <f>SUM(M115:M117)</f>
        <v>121760</v>
      </c>
      <c r="N114" s="360">
        <f>SUM(N115:N117)</f>
        <v>84830</v>
      </c>
      <c r="O114" s="308">
        <f>SUM(O115:O117)</f>
        <v>-36930</v>
      </c>
      <c r="P114" s="379" t="s">
        <v>190</v>
      </c>
      <c r="Q114" s="379" t="s">
        <v>224</v>
      </c>
      <c r="R114" s="203" t="s">
        <v>225</v>
      </c>
      <c r="S114" s="360">
        <f>SUM(S115:S117)</f>
        <v>121760</v>
      </c>
      <c r="T114" s="360">
        <f>SUM(T115:T117)</f>
        <v>84830</v>
      </c>
      <c r="U114" s="308">
        <f>SUM(U115:U117)</f>
        <v>-36930</v>
      </c>
      <c r="V114" s="379" t="s">
        <v>191</v>
      </c>
      <c r="W114" s="379" t="s">
        <v>226</v>
      </c>
      <c r="X114" s="203" t="s">
        <v>228</v>
      </c>
    </row>
    <row r="115" spans="1:24" s="8" customFormat="1" ht="15" customHeight="1">
      <c r="A115" s="104" t="s">
        <v>107</v>
      </c>
      <c r="B115" s="10" t="s">
        <v>289</v>
      </c>
      <c r="C115" s="176"/>
      <c r="D115" s="386">
        <f>773495.01+178.022+200</f>
        <v>773873.032</v>
      </c>
      <c r="E115" s="386">
        <v>674134.732</v>
      </c>
      <c r="F115" s="387">
        <f>E115-D115</f>
        <v>-99738.30000000005</v>
      </c>
      <c r="G115" s="386">
        <v>108826</v>
      </c>
      <c r="H115" s="386">
        <v>82947.7</v>
      </c>
      <c r="I115" s="387">
        <f>H115-G115</f>
        <v>-25878.300000000003</v>
      </c>
      <c r="J115" s="388"/>
      <c r="K115" s="388"/>
      <c r="L115" s="389"/>
      <c r="M115" s="386">
        <v>121760</v>
      </c>
      <c r="N115" s="386">
        <v>84830</v>
      </c>
      <c r="O115" s="387">
        <f>N115-M115</f>
        <v>-36930</v>
      </c>
      <c r="P115" s="388"/>
      <c r="Q115" s="388"/>
      <c r="R115" s="389"/>
      <c r="S115" s="386">
        <v>121760</v>
      </c>
      <c r="T115" s="386">
        <v>84830</v>
      </c>
      <c r="U115" s="387">
        <f>T115-S115</f>
        <v>-36930</v>
      </c>
      <c r="V115" s="388"/>
      <c r="W115" s="388"/>
      <c r="X115" s="116"/>
    </row>
    <row r="116" spans="1:24" s="8" customFormat="1" ht="15" customHeight="1">
      <c r="A116" s="104" t="s">
        <v>108</v>
      </c>
      <c r="B116" s="12" t="s">
        <v>291</v>
      </c>
      <c r="C116" s="176"/>
      <c r="D116" s="386">
        <v>1316</v>
      </c>
      <c r="E116" s="386">
        <v>1316</v>
      </c>
      <c r="F116" s="387">
        <f>E116-D116</f>
        <v>0</v>
      </c>
      <c r="G116" s="386"/>
      <c r="H116" s="386"/>
      <c r="I116" s="387">
        <f>H116-G116</f>
        <v>0</v>
      </c>
      <c r="J116" s="388"/>
      <c r="K116" s="388"/>
      <c r="L116" s="391"/>
      <c r="M116" s="386"/>
      <c r="N116" s="386"/>
      <c r="O116" s="387">
        <f>N116-M116</f>
        <v>0</v>
      </c>
      <c r="P116" s="388"/>
      <c r="Q116" s="388"/>
      <c r="R116" s="391"/>
      <c r="S116" s="386"/>
      <c r="T116" s="386"/>
      <c r="U116" s="387">
        <f>T116-S116</f>
        <v>0</v>
      </c>
      <c r="V116" s="388"/>
      <c r="W116" s="388"/>
      <c r="X116" s="95"/>
    </row>
    <row r="117" spans="1:24" s="8" customFormat="1" ht="15" customHeight="1">
      <c r="A117" s="104" t="s">
        <v>109</v>
      </c>
      <c r="B117" s="10" t="s">
        <v>292</v>
      </c>
      <c r="C117" s="176"/>
      <c r="D117" s="386">
        <v>269000</v>
      </c>
      <c r="E117" s="386">
        <v>149000</v>
      </c>
      <c r="F117" s="387">
        <f>E117-D117</f>
        <v>-120000</v>
      </c>
      <c r="G117" s="386"/>
      <c r="H117" s="386"/>
      <c r="I117" s="387">
        <f>H117-G117</f>
        <v>0</v>
      </c>
      <c r="J117" s="388"/>
      <c r="K117" s="388"/>
      <c r="L117" s="389"/>
      <c r="M117" s="386"/>
      <c r="N117" s="386"/>
      <c r="O117" s="387">
        <f>N117-M117</f>
        <v>0</v>
      </c>
      <c r="P117" s="388"/>
      <c r="Q117" s="388"/>
      <c r="R117" s="389"/>
      <c r="S117" s="386"/>
      <c r="T117" s="386"/>
      <c r="U117" s="387">
        <f>T117-S117</f>
        <v>0</v>
      </c>
      <c r="V117" s="388"/>
      <c r="W117" s="388"/>
      <c r="X117" s="116"/>
    </row>
    <row r="118" spans="1:24" s="8" customFormat="1" ht="15" customHeight="1">
      <c r="A118" s="103"/>
      <c r="B118" s="89"/>
      <c r="C118" s="172"/>
      <c r="D118" s="386"/>
      <c r="E118" s="386"/>
      <c r="F118" s="390"/>
      <c r="G118" s="386"/>
      <c r="H118" s="386"/>
      <c r="I118" s="390"/>
      <c r="J118" s="388"/>
      <c r="K118" s="388"/>
      <c r="L118" s="391"/>
      <c r="M118" s="297"/>
      <c r="N118" s="298"/>
      <c r="O118" s="315"/>
      <c r="P118" s="262"/>
      <c r="Q118" s="260"/>
      <c r="R118" s="95"/>
      <c r="S118" s="297"/>
      <c r="T118" s="298"/>
      <c r="U118" s="315"/>
      <c r="V118" s="262"/>
      <c r="W118" s="260"/>
      <c r="X118" s="95"/>
    </row>
    <row r="119" spans="1:24" s="41" customFormat="1" ht="95.25" customHeight="1">
      <c r="A119" s="102" t="s">
        <v>410</v>
      </c>
      <c r="B119" s="85" t="s">
        <v>581</v>
      </c>
      <c r="C119" s="189" t="s">
        <v>31</v>
      </c>
      <c r="D119" s="392">
        <f aca="true" t="shared" si="45" ref="D119:I119">SUM(D120:D120)</f>
        <v>3103.222</v>
      </c>
      <c r="E119" s="392">
        <f t="shared" si="45"/>
        <v>3103.222</v>
      </c>
      <c r="F119" s="204">
        <f t="shared" si="45"/>
        <v>0</v>
      </c>
      <c r="G119" s="392">
        <f t="shared" si="45"/>
        <v>0</v>
      </c>
      <c r="H119" s="392">
        <f t="shared" si="45"/>
        <v>0</v>
      </c>
      <c r="I119" s="204">
        <f t="shared" si="45"/>
        <v>0</v>
      </c>
      <c r="J119" s="393"/>
      <c r="K119" s="393"/>
      <c r="L119" s="114"/>
      <c r="M119" s="392">
        <f>SUM(M120:M120)</f>
        <v>0</v>
      </c>
      <c r="N119" s="392">
        <f>SUM(N120:N120)</f>
        <v>0</v>
      </c>
      <c r="O119" s="204">
        <f>SUM(O120:O120)</f>
        <v>0</v>
      </c>
      <c r="P119" s="393"/>
      <c r="Q119" s="393"/>
      <c r="R119" s="114"/>
      <c r="S119" s="392">
        <f>SUM(S120:S120)</f>
        <v>0</v>
      </c>
      <c r="T119" s="392">
        <f>SUM(T120:T120)</f>
        <v>0</v>
      </c>
      <c r="U119" s="204">
        <f>SUM(U120:U120)</f>
        <v>0</v>
      </c>
      <c r="V119" s="269"/>
      <c r="W119" s="259"/>
      <c r="X119" s="114"/>
    </row>
    <row r="120" spans="1:24" s="14" customFormat="1" ht="15.75">
      <c r="A120" s="99" t="s">
        <v>402</v>
      </c>
      <c r="B120" s="32" t="s">
        <v>289</v>
      </c>
      <c r="C120" s="177"/>
      <c r="D120" s="352">
        <v>3103.222</v>
      </c>
      <c r="E120" s="352">
        <v>3103.222</v>
      </c>
      <c r="F120" s="304">
        <f>E120-D120</f>
        <v>0</v>
      </c>
      <c r="G120" s="352"/>
      <c r="H120" s="352"/>
      <c r="I120" s="304">
        <f>H120-G120</f>
        <v>0</v>
      </c>
      <c r="J120" s="353"/>
      <c r="K120" s="353"/>
      <c r="L120" s="116"/>
      <c r="M120" s="352"/>
      <c r="N120" s="352"/>
      <c r="O120" s="304">
        <f>N120-M120</f>
        <v>0</v>
      </c>
      <c r="P120" s="353"/>
      <c r="Q120" s="353"/>
      <c r="R120" s="116"/>
      <c r="S120" s="352"/>
      <c r="T120" s="352"/>
      <c r="U120" s="304">
        <f>T120-S120</f>
        <v>0</v>
      </c>
      <c r="V120" s="262"/>
      <c r="W120" s="260"/>
      <c r="X120" s="116"/>
    </row>
    <row r="121" spans="1:24" s="14" customFormat="1" ht="15.75">
      <c r="A121" s="102"/>
      <c r="B121" s="32"/>
      <c r="C121" s="178"/>
      <c r="D121" s="352"/>
      <c r="E121" s="352"/>
      <c r="F121" s="299"/>
      <c r="G121" s="352"/>
      <c r="H121" s="352"/>
      <c r="I121" s="299"/>
      <c r="J121" s="353"/>
      <c r="K121" s="353"/>
      <c r="L121" s="111"/>
      <c r="M121" s="352"/>
      <c r="N121" s="352"/>
      <c r="O121" s="299"/>
      <c r="P121" s="353"/>
      <c r="Q121" s="353"/>
      <c r="R121" s="111"/>
      <c r="S121" s="352"/>
      <c r="T121" s="352"/>
      <c r="U121" s="299"/>
      <c r="V121" s="262"/>
      <c r="W121" s="260"/>
      <c r="X121" s="111"/>
    </row>
    <row r="122" spans="1:24" s="41" customFormat="1" ht="89.25" customHeight="1">
      <c r="A122" s="102" t="s">
        <v>403</v>
      </c>
      <c r="B122" s="85" t="s">
        <v>582</v>
      </c>
      <c r="C122" s="189" t="s">
        <v>31</v>
      </c>
      <c r="D122" s="392">
        <f aca="true" t="shared" si="46" ref="D122:I122">SUM(D123:D124)</f>
        <v>50221.235</v>
      </c>
      <c r="E122" s="392">
        <f t="shared" si="46"/>
        <v>50221.235</v>
      </c>
      <c r="F122" s="204">
        <f t="shared" si="46"/>
        <v>0</v>
      </c>
      <c r="G122" s="392">
        <f t="shared" si="46"/>
        <v>0</v>
      </c>
      <c r="H122" s="392">
        <f t="shared" si="46"/>
        <v>0</v>
      </c>
      <c r="I122" s="204">
        <f t="shared" si="46"/>
        <v>0</v>
      </c>
      <c r="J122" s="393"/>
      <c r="K122" s="393"/>
      <c r="L122" s="114"/>
      <c r="M122" s="392">
        <f>SUM(M123:M124)</f>
        <v>0</v>
      </c>
      <c r="N122" s="392">
        <f>SUM(N123:N124)</f>
        <v>0</v>
      </c>
      <c r="O122" s="204">
        <f>SUM(O123:O124)</f>
        <v>0</v>
      </c>
      <c r="P122" s="393"/>
      <c r="Q122" s="393"/>
      <c r="R122" s="114"/>
      <c r="S122" s="392">
        <f>SUM(S123:S124)</f>
        <v>0</v>
      </c>
      <c r="T122" s="392">
        <f>SUM(T123:T124)</f>
        <v>0</v>
      </c>
      <c r="U122" s="204">
        <f>SUM(U123:U124)</f>
        <v>0</v>
      </c>
      <c r="V122" s="269"/>
      <c r="W122" s="259"/>
      <c r="X122" s="114"/>
    </row>
    <row r="123" spans="1:24" s="41" customFormat="1" ht="15.75">
      <c r="A123" s="99" t="s">
        <v>404</v>
      </c>
      <c r="B123" s="32" t="s">
        <v>289</v>
      </c>
      <c r="C123" s="177"/>
      <c r="D123" s="352">
        <f aca="true" t="shared" si="47" ref="D123:I123">SUM(D127+D131+D134+D137)</f>
        <v>24321.235</v>
      </c>
      <c r="E123" s="352">
        <f t="shared" si="47"/>
        <v>24321.235</v>
      </c>
      <c r="F123" s="299">
        <f t="shared" si="47"/>
        <v>0</v>
      </c>
      <c r="G123" s="352">
        <f t="shared" si="47"/>
        <v>0</v>
      </c>
      <c r="H123" s="352">
        <f t="shared" si="47"/>
        <v>0</v>
      </c>
      <c r="I123" s="299">
        <f t="shared" si="47"/>
        <v>0</v>
      </c>
      <c r="J123" s="353"/>
      <c r="K123" s="353"/>
      <c r="L123" s="111"/>
      <c r="M123" s="352">
        <f>SUM(M127+M131+M134+M137)</f>
        <v>0</v>
      </c>
      <c r="N123" s="352">
        <f>SUM(N127+N131+N134+N137)</f>
        <v>0</v>
      </c>
      <c r="O123" s="299">
        <f>SUM(O127+O131+O134+O137)</f>
        <v>0</v>
      </c>
      <c r="P123" s="353"/>
      <c r="Q123" s="353"/>
      <c r="R123" s="111"/>
      <c r="S123" s="352">
        <f>SUM(S127+S131+S134+S137)</f>
        <v>0</v>
      </c>
      <c r="T123" s="352">
        <f>SUM(T127+T131+T134+T137)</f>
        <v>0</v>
      </c>
      <c r="U123" s="299">
        <f>SUM(U127+U131+U134+U137)</f>
        <v>0</v>
      </c>
      <c r="V123" s="262"/>
      <c r="W123" s="260"/>
      <c r="X123" s="124"/>
    </row>
    <row r="124" spans="1:24" s="41" customFormat="1" ht="15.75">
      <c r="A124" s="99" t="s">
        <v>405</v>
      </c>
      <c r="B124" s="28" t="s">
        <v>291</v>
      </c>
      <c r="C124" s="177"/>
      <c r="D124" s="352">
        <f aca="true" t="shared" si="48" ref="D124:I124">SUM(D128+D138)</f>
        <v>25900</v>
      </c>
      <c r="E124" s="352">
        <f t="shared" si="48"/>
        <v>25900</v>
      </c>
      <c r="F124" s="299">
        <f t="shared" si="48"/>
        <v>0</v>
      </c>
      <c r="G124" s="352">
        <f t="shared" si="48"/>
        <v>0</v>
      </c>
      <c r="H124" s="352">
        <f t="shared" si="48"/>
        <v>0</v>
      </c>
      <c r="I124" s="299">
        <f t="shared" si="48"/>
        <v>0</v>
      </c>
      <c r="J124" s="353"/>
      <c r="K124" s="353"/>
      <c r="L124" s="111"/>
      <c r="M124" s="352">
        <f>SUM(M128+M138)</f>
        <v>0</v>
      </c>
      <c r="N124" s="352">
        <f>SUM(N128+N138)</f>
        <v>0</v>
      </c>
      <c r="O124" s="299">
        <f>SUM(O128+O138)</f>
        <v>0</v>
      </c>
      <c r="P124" s="353"/>
      <c r="Q124" s="353"/>
      <c r="R124" s="111"/>
      <c r="S124" s="352">
        <f>SUM(S128+S138)</f>
        <v>0</v>
      </c>
      <c r="T124" s="352">
        <f>SUM(T128+T138)</f>
        <v>0</v>
      </c>
      <c r="U124" s="299">
        <f>SUM(U128+U138)</f>
        <v>0</v>
      </c>
      <c r="V124" s="262"/>
      <c r="W124" s="260"/>
      <c r="X124" s="124"/>
    </row>
    <row r="125" spans="1:24" s="41" customFormat="1" ht="15.75">
      <c r="A125" s="99"/>
      <c r="B125" s="32" t="s">
        <v>384</v>
      </c>
      <c r="C125" s="177"/>
      <c r="D125" s="392"/>
      <c r="E125" s="392"/>
      <c r="F125" s="204"/>
      <c r="G125" s="392"/>
      <c r="H125" s="392"/>
      <c r="I125" s="204"/>
      <c r="J125" s="393"/>
      <c r="K125" s="393"/>
      <c r="L125" s="114"/>
      <c r="M125" s="392"/>
      <c r="N125" s="392"/>
      <c r="O125" s="204"/>
      <c r="P125" s="393"/>
      <c r="Q125" s="393"/>
      <c r="R125" s="114"/>
      <c r="S125" s="392"/>
      <c r="T125" s="392"/>
      <c r="U125" s="204"/>
      <c r="V125" s="269"/>
      <c r="W125" s="259"/>
      <c r="X125" s="114"/>
    </row>
    <row r="126" spans="1:24" s="41" customFormat="1" ht="51.75" customHeight="1">
      <c r="A126" s="99" t="s">
        <v>406</v>
      </c>
      <c r="B126" s="32" t="s">
        <v>385</v>
      </c>
      <c r="C126" s="177"/>
      <c r="D126" s="392">
        <f aca="true" t="shared" si="49" ref="D126:I126">SUM(D127:D128)</f>
        <v>40341.235</v>
      </c>
      <c r="E126" s="392">
        <f t="shared" si="49"/>
        <v>40341.235</v>
      </c>
      <c r="F126" s="204">
        <f t="shared" si="49"/>
        <v>0</v>
      </c>
      <c r="G126" s="392">
        <f t="shared" si="49"/>
        <v>0</v>
      </c>
      <c r="H126" s="392">
        <f t="shared" si="49"/>
        <v>0</v>
      </c>
      <c r="I126" s="204">
        <f t="shared" si="49"/>
        <v>0</v>
      </c>
      <c r="J126" s="393"/>
      <c r="K126" s="393"/>
      <c r="L126" s="114"/>
      <c r="M126" s="392">
        <f>SUM(M127:M128)</f>
        <v>0</v>
      </c>
      <c r="N126" s="392">
        <f>SUM(N127:N128)</f>
        <v>0</v>
      </c>
      <c r="O126" s="204">
        <f>SUM(O127:O128)</f>
        <v>0</v>
      </c>
      <c r="P126" s="393"/>
      <c r="Q126" s="393"/>
      <c r="R126" s="114"/>
      <c r="S126" s="392">
        <f>SUM(S127:S128)</f>
        <v>0</v>
      </c>
      <c r="T126" s="392">
        <f>SUM(T127:T128)</f>
        <v>0</v>
      </c>
      <c r="U126" s="204">
        <f>SUM(U127:U128)</f>
        <v>0</v>
      </c>
      <c r="V126" s="269"/>
      <c r="W126" s="259"/>
      <c r="X126" s="114"/>
    </row>
    <row r="127" spans="1:24" s="41" customFormat="1" ht="15.75">
      <c r="A127" s="99" t="s">
        <v>407</v>
      </c>
      <c r="B127" s="32" t="s">
        <v>289</v>
      </c>
      <c r="C127" s="177"/>
      <c r="D127" s="352">
        <v>17241.235</v>
      </c>
      <c r="E127" s="352">
        <v>17241.235</v>
      </c>
      <c r="F127" s="304">
        <f>E127-D127</f>
        <v>0</v>
      </c>
      <c r="G127" s="352">
        <f>2700-2700</f>
        <v>0</v>
      </c>
      <c r="H127" s="352">
        <f>2700-2700</f>
        <v>0</v>
      </c>
      <c r="I127" s="304">
        <f>H127-G127</f>
        <v>0</v>
      </c>
      <c r="J127" s="353"/>
      <c r="K127" s="353"/>
      <c r="L127" s="116"/>
      <c r="M127" s="352">
        <f>2700-2700</f>
        <v>0</v>
      </c>
      <c r="N127" s="352">
        <f>2700-2700</f>
        <v>0</v>
      </c>
      <c r="O127" s="304">
        <f>N127-M127</f>
        <v>0</v>
      </c>
      <c r="P127" s="353"/>
      <c r="Q127" s="353"/>
      <c r="R127" s="116"/>
      <c r="S127" s="352">
        <f>2700-2700</f>
        <v>0</v>
      </c>
      <c r="T127" s="352">
        <f>2700-2700</f>
        <v>0</v>
      </c>
      <c r="U127" s="304">
        <f>T127-S127</f>
        <v>0</v>
      </c>
      <c r="V127" s="262"/>
      <c r="W127" s="260"/>
      <c r="X127" s="116"/>
    </row>
    <row r="128" spans="1:24" s="41" customFormat="1" ht="15.75">
      <c r="A128" s="99" t="s">
        <v>408</v>
      </c>
      <c r="B128" s="28" t="s">
        <v>291</v>
      </c>
      <c r="C128" s="177"/>
      <c r="D128" s="352">
        <v>23100</v>
      </c>
      <c r="E128" s="352">
        <v>23100</v>
      </c>
      <c r="F128" s="304">
        <f>E128-D128</f>
        <v>0</v>
      </c>
      <c r="G128" s="352"/>
      <c r="H128" s="352"/>
      <c r="I128" s="304">
        <f>H128-G128</f>
        <v>0</v>
      </c>
      <c r="J128" s="353"/>
      <c r="K128" s="353"/>
      <c r="L128" s="116"/>
      <c r="M128" s="352"/>
      <c r="N128" s="352"/>
      <c r="O128" s="304">
        <f>N128-M128</f>
        <v>0</v>
      </c>
      <c r="P128" s="353"/>
      <c r="Q128" s="353"/>
      <c r="R128" s="116"/>
      <c r="S128" s="352"/>
      <c r="T128" s="352"/>
      <c r="U128" s="304">
        <f>T128-S128</f>
        <v>0</v>
      </c>
      <c r="V128" s="262"/>
      <c r="W128" s="260"/>
      <c r="X128" s="116"/>
    </row>
    <row r="129" spans="1:24" s="41" customFormat="1" ht="15.75">
      <c r="A129" s="99"/>
      <c r="B129" s="28"/>
      <c r="C129" s="177"/>
      <c r="D129" s="352"/>
      <c r="E129" s="352"/>
      <c r="F129" s="299"/>
      <c r="G129" s="352"/>
      <c r="H129" s="352"/>
      <c r="I129" s="299"/>
      <c r="J129" s="353"/>
      <c r="K129" s="353"/>
      <c r="L129" s="111"/>
      <c r="M129" s="352"/>
      <c r="N129" s="352"/>
      <c r="O129" s="299"/>
      <c r="P129" s="353"/>
      <c r="Q129" s="353"/>
      <c r="R129" s="111"/>
      <c r="S129" s="352"/>
      <c r="T129" s="352"/>
      <c r="U129" s="299"/>
      <c r="V129" s="262"/>
      <c r="W129" s="260"/>
      <c r="X129" s="124"/>
    </row>
    <row r="130" spans="1:24" s="41" customFormat="1" ht="50.25" customHeight="1">
      <c r="A130" s="99" t="s">
        <v>409</v>
      </c>
      <c r="B130" s="92" t="s">
        <v>383</v>
      </c>
      <c r="C130" s="177"/>
      <c r="D130" s="352">
        <f aca="true" t="shared" si="50" ref="D130:I130">SUM(D131)</f>
        <v>780</v>
      </c>
      <c r="E130" s="352">
        <f t="shared" si="50"/>
        <v>780</v>
      </c>
      <c r="F130" s="299">
        <f t="shared" si="50"/>
        <v>0</v>
      </c>
      <c r="G130" s="352">
        <f t="shared" si="50"/>
        <v>0</v>
      </c>
      <c r="H130" s="352">
        <f t="shared" si="50"/>
        <v>0</v>
      </c>
      <c r="I130" s="299">
        <f t="shared" si="50"/>
        <v>0</v>
      </c>
      <c r="J130" s="353"/>
      <c r="K130" s="353"/>
      <c r="L130" s="111"/>
      <c r="M130" s="352">
        <f>SUM(M131)</f>
        <v>0</v>
      </c>
      <c r="N130" s="352">
        <f>SUM(N131)</f>
        <v>0</v>
      </c>
      <c r="O130" s="299">
        <f>SUM(O131)</f>
        <v>0</v>
      </c>
      <c r="P130" s="353"/>
      <c r="Q130" s="353"/>
      <c r="R130" s="111"/>
      <c r="S130" s="352">
        <f>SUM(S131)</f>
        <v>0</v>
      </c>
      <c r="T130" s="352">
        <f>SUM(T131)</f>
        <v>0</v>
      </c>
      <c r="U130" s="299">
        <f>SUM(U131)</f>
        <v>0</v>
      </c>
      <c r="V130" s="262"/>
      <c r="W130" s="260"/>
      <c r="X130" s="124"/>
    </row>
    <row r="131" spans="1:24" s="14" customFormat="1" ht="15.75">
      <c r="A131" s="99" t="s">
        <v>411</v>
      </c>
      <c r="B131" s="32" t="s">
        <v>289</v>
      </c>
      <c r="C131" s="177"/>
      <c r="D131" s="352">
        <v>780</v>
      </c>
      <c r="E131" s="352">
        <v>780</v>
      </c>
      <c r="F131" s="304">
        <f>E131-D131</f>
        <v>0</v>
      </c>
      <c r="G131" s="352"/>
      <c r="H131" s="352"/>
      <c r="I131" s="304">
        <f>H131-G131</f>
        <v>0</v>
      </c>
      <c r="J131" s="353"/>
      <c r="K131" s="353"/>
      <c r="L131" s="116"/>
      <c r="M131" s="352"/>
      <c r="N131" s="352"/>
      <c r="O131" s="304">
        <f>N131-M131</f>
        <v>0</v>
      </c>
      <c r="P131" s="353"/>
      <c r="Q131" s="353"/>
      <c r="R131" s="116"/>
      <c r="S131" s="352"/>
      <c r="T131" s="352"/>
      <c r="U131" s="304">
        <f>T131-S131</f>
        <v>0</v>
      </c>
      <c r="V131" s="262"/>
      <c r="W131" s="260"/>
      <c r="X131" s="116"/>
    </row>
    <row r="132" spans="1:24" s="14" customFormat="1" ht="15.75">
      <c r="A132" s="99"/>
      <c r="B132" s="32"/>
      <c r="C132" s="177"/>
      <c r="D132" s="352"/>
      <c r="E132" s="352"/>
      <c r="F132" s="299"/>
      <c r="G132" s="352"/>
      <c r="H132" s="352"/>
      <c r="I132" s="299"/>
      <c r="J132" s="353"/>
      <c r="K132" s="353"/>
      <c r="L132" s="111"/>
      <c r="M132" s="297"/>
      <c r="N132" s="298"/>
      <c r="O132" s="299"/>
      <c r="P132" s="262"/>
      <c r="Q132" s="260"/>
      <c r="R132" s="111"/>
      <c r="S132" s="297"/>
      <c r="T132" s="298"/>
      <c r="U132" s="299"/>
      <c r="V132" s="262"/>
      <c r="W132" s="260"/>
      <c r="X132" s="111"/>
    </row>
    <row r="133" spans="1:24" s="41" customFormat="1" ht="49.5" customHeight="1">
      <c r="A133" s="99" t="s">
        <v>412</v>
      </c>
      <c r="B133" s="92" t="s">
        <v>394</v>
      </c>
      <c r="C133" s="177"/>
      <c r="D133" s="352">
        <f aca="true" t="shared" si="51" ref="D133:I133">SUM(D134)</f>
        <v>5100</v>
      </c>
      <c r="E133" s="352">
        <f t="shared" si="51"/>
        <v>5100</v>
      </c>
      <c r="F133" s="299">
        <f t="shared" si="51"/>
        <v>0</v>
      </c>
      <c r="G133" s="352">
        <f t="shared" si="51"/>
        <v>0</v>
      </c>
      <c r="H133" s="352">
        <f t="shared" si="51"/>
        <v>0</v>
      </c>
      <c r="I133" s="299">
        <f t="shared" si="51"/>
        <v>0</v>
      </c>
      <c r="J133" s="353"/>
      <c r="K133" s="353"/>
      <c r="L133" s="111"/>
      <c r="M133" s="395">
        <f>SUM(M134)</f>
        <v>0</v>
      </c>
      <c r="N133" s="395">
        <f>SUM(N134)</f>
        <v>0</v>
      </c>
      <c r="O133" s="315">
        <f>SUM(O134)</f>
        <v>0</v>
      </c>
      <c r="P133" s="396"/>
      <c r="Q133" s="396"/>
      <c r="R133" s="95"/>
      <c r="S133" s="395">
        <f>SUM(S134)</f>
        <v>0</v>
      </c>
      <c r="T133" s="395">
        <f>SUM(T134)</f>
        <v>0</v>
      </c>
      <c r="U133" s="205">
        <f>SUM(U134)</f>
        <v>0</v>
      </c>
      <c r="V133" s="262"/>
      <c r="W133" s="260"/>
      <c r="X133" s="124"/>
    </row>
    <row r="134" spans="1:24" s="14" customFormat="1" ht="15.75">
      <c r="A134" s="99" t="s">
        <v>413</v>
      </c>
      <c r="B134" s="32" t="s">
        <v>289</v>
      </c>
      <c r="C134" s="177"/>
      <c r="D134" s="352">
        <v>5100</v>
      </c>
      <c r="E134" s="352">
        <v>5100</v>
      </c>
      <c r="F134" s="304">
        <f>E134-D134</f>
        <v>0</v>
      </c>
      <c r="G134" s="352"/>
      <c r="H134" s="352"/>
      <c r="I134" s="304">
        <f>H134-G134</f>
        <v>0</v>
      </c>
      <c r="J134" s="353"/>
      <c r="K134" s="353"/>
      <c r="L134" s="111"/>
      <c r="M134" s="395"/>
      <c r="N134" s="395"/>
      <c r="O134" s="316">
        <f>N134-M134</f>
        <v>0</v>
      </c>
      <c r="P134" s="396"/>
      <c r="Q134" s="396"/>
      <c r="R134" s="95"/>
      <c r="S134" s="395"/>
      <c r="T134" s="395"/>
      <c r="U134" s="304">
        <f>T134-S134</f>
        <v>0</v>
      </c>
      <c r="V134" s="262"/>
      <c r="W134" s="260"/>
      <c r="X134" s="111"/>
    </row>
    <row r="135" spans="1:24" s="14" customFormat="1" ht="15.75">
      <c r="A135" s="99"/>
      <c r="B135" s="32"/>
      <c r="C135" s="177"/>
      <c r="D135" s="352"/>
      <c r="E135" s="352"/>
      <c r="F135" s="299"/>
      <c r="G135" s="352"/>
      <c r="H135" s="352"/>
      <c r="I135" s="299"/>
      <c r="J135" s="353"/>
      <c r="K135" s="353"/>
      <c r="L135" s="111"/>
      <c r="M135" s="395"/>
      <c r="N135" s="395"/>
      <c r="O135" s="315"/>
      <c r="P135" s="396"/>
      <c r="Q135" s="396"/>
      <c r="R135" s="95"/>
      <c r="S135" s="395"/>
      <c r="T135" s="395"/>
      <c r="U135" s="299"/>
      <c r="V135" s="262"/>
      <c r="W135" s="260"/>
      <c r="X135" s="111"/>
    </row>
    <row r="136" spans="1:24" s="14" customFormat="1" ht="31.5">
      <c r="A136" s="99" t="s">
        <v>414</v>
      </c>
      <c r="B136" s="32" t="s">
        <v>391</v>
      </c>
      <c r="C136" s="177"/>
      <c r="D136" s="392">
        <f aca="true" t="shared" si="52" ref="D136:I136">SUM(D137:D138)</f>
        <v>4000</v>
      </c>
      <c r="E136" s="392">
        <f t="shared" si="52"/>
        <v>4000</v>
      </c>
      <c r="F136" s="204">
        <f t="shared" si="52"/>
        <v>0</v>
      </c>
      <c r="G136" s="392">
        <f t="shared" si="52"/>
        <v>0</v>
      </c>
      <c r="H136" s="392">
        <f t="shared" si="52"/>
        <v>0</v>
      </c>
      <c r="I136" s="204">
        <f t="shared" si="52"/>
        <v>0</v>
      </c>
      <c r="J136" s="393"/>
      <c r="K136" s="393"/>
      <c r="L136" s="114"/>
      <c r="M136" s="392">
        <f>SUM(M137:M138)</f>
        <v>0</v>
      </c>
      <c r="N136" s="392">
        <f>SUM(N137:N138)</f>
        <v>0</v>
      </c>
      <c r="O136" s="204">
        <f>SUM(O137:O138)</f>
        <v>0</v>
      </c>
      <c r="P136" s="393"/>
      <c r="Q136" s="393"/>
      <c r="R136" s="114"/>
      <c r="S136" s="392">
        <f>SUM(S137:S138)</f>
        <v>0</v>
      </c>
      <c r="T136" s="392">
        <f>SUM(T137:T138)</f>
        <v>0</v>
      </c>
      <c r="U136" s="204">
        <f>SUM(U137:U138)</f>
        <v>0</v>
      </c>
      <c r="V136" s="269"/>
      <c r="W136" s="259"/>
      <c r="X136" s="114"/>
    </row>
    <row r="137" spans="1:24" s="14" customFormat="1" ht="15.75">
      <c r="A137" s="99" t="s">
        <v>415</v>
      </c>
      <c r="B137" s="32" t="s">
        <v>289</v>
      </c>
      <c r="C137" s="177"/>
      <c r="D137" s="352">
        <v>1200</v>
      </c>
      <c r="E137" s="352">
        <v>1200</v>
      </c>
      <c r="F137" s="304">
        <f>E137-D137</f>
        <v>0</v>
      </c>
      <c r="G137" s="352"/>
      <c r="H137" s="352"/>
      <c r="I137" s="304">
        <f>H137-G137</f>
        <v>0</v>
      </c>
      <c r="J137" s="353"/>
      <c r="K137" s="353"/>
      <c r="L137" s="116"/>
      <c r="M137" s="352"/>
      <c r="N137" s="352"/>
      <c r="O137" s="304">
        <f>N137-M137</f>
        <v>0</v>
      </c>
      <c r="P137" s="353"/>
      <c r="Q137" s="353"/>
      <c r="R137" s="116"/>
      <c r="S137" s="352"/>
      <c r="T137" s="352"/>
      <c r="U137" s="304">
        <f>T137-S137</f>
        <v>0</v>
      </c>
      <c r="V137" s="262"/>
      <c r="W137" s="260"/>
      <c r="X137" s="116"/>
    </row>
    <row r="138" spans="1:24" s="14" customFormat="1" ht="15.75">
      <c r="A138" s="99" t="s">
        <v>416</v>
      </c>
      <c r="B138" s="28" t="s">
        <v>291</v>
      </c>
      <c r="C138" s="177"/>
      <c r="D138" s="352">
        <v>2800</v>
      </c>
      <c r="E138" s="352">
        <v>2800</v>
      </c>
      <c r="F138" s="304">
        <f>E138-D138</f>
        <v>0</v>
      </c>
      <c r="G138" s="352"/>
      <c r="H138" s="352"/>
      <c r="I138" s="304">
        <f>H138-G138</f>
        <v>0</v>
      </c>
      <c r="J138" s="353"/>
      <c r="K138" s="353"/>
      <c r="L138" s="116"/>
      <c r="M138" s="297"/>
      <c r="N138" s="298"/>
      <c r="O138" s="304">
        <f>N138-M138</f>
        <v>0</v>
      </c>
      <c r="P138" s="262"/>
      <c r="Q138" s="260"/>
      <c r="R138" s="116"/>
      <c r="S138" s="297"/>
      <c r="T138" s="298"/>
      <c r="U138" s="304">
        <f>T138-S138</f>
        <v>0</v>
      </c>
      <c r="V138" s="262"/>
      <c r="W138" s="260"/>
      <c r="X138" s="116"/>
    </row>
    <row r="139" spans="1:24" s="14" customFormat="1" ht="15.75">
      <c r="A139" s="102"/>
      <c r="B139" s="32"/>
      <c r="C139" s="178"/>
      <c r="D139" s="352"/>
      <c r="E139" s="352"/>
      <c r="F139" s="299"/>
      <c r="G139" s="352"/>
      <c r="H139" s="352"/>
      <c r="I139" s="299"/>
      <c r="J139" s="353"/>
      <c r="K139" s="353"/>
      <c r="L139" s="111"/>
      <c r="M139" s="297"/>
      <c r="N139" s="298"/>
      <c r="O139" s="299"/>
      <c r="P139" s="262"/>
      <c r="Q139" s="260"/>
      <c r="R139" s="111"/>
      <c r="S139" s="297"/>
      <c r="T139" s="298"/>
      <c r="U139" s="299"/>
      <c r="V139" s="262"/>
      <c r="W139" s="260"/>
      <c r="X139" s="111"/>
    </row>
    <row r="140" spans="1:24" s="7" customFormat="1" ht="15" customHeight="1">
      <c r="A140" s="165"/>
      <c r="B140" s="230"/>
      <c r="C140" s="231"/>
      <c r="D140" s="429" t="s">
        <v>344</v>
      </c>
      <c r="E140" s="430"/>
      <c r="F140" s="430"/>
      <c r="G140" s="430"/>
      <c r="H140" s="430"/>
      <c r="I140" s="430"/>
      <c r="J140" s="430"/>
      <c r="K140" s="430"/>
      <c r="L140" s="431"/>
      <c r="M140" s="429" t="s">
        <v>344</v>
      </c>
      <c r="N140" s="430"/>
      <c r="O140" s="430"/>
      <c r="P140" s="430"/>
      <c r="Q140" s="430"/>
      <c r="R140" s="430"/>
      <c r="S140" s="430"/>
      <c r="T140" s="430"/>
      <c r="U140" s="430"/>
      <c r="V140" s="430"/>
      <c r="W140" s="430"/>
      <c r="X140" s="430"/>
    </row>
    <row r="141" spans="1:24" s="39" customFormat="1" ht="23.25" customHeight="1">
      <c r="A141" s="103" t="s">
        <v>417</v>
      </c>
      <c r="B141" s="43" t="s">
        <v>319</v>
      </c>
      <c r="C141" s="176"/>
      <c r="D141" s="362">
        <f aca="true" t="shared" si="53" ref="D141:I141">SUM(D142:D145)</f>
        <v>2463059.86366</v>
      </c>
      <c r="E141" s="362">
        <f t="shared" si="53"/>
        <v>1688831.6636599998</v>
      </c>
      <c r="F141" s="309">
        <f t="shared" si="53"/>
        <v>-774228.2</v>
      </c>
      <c r="G141" s="362">
        <f t="shared" si="53"/>
        <v>139628</v>
      </c>
      <c r="H141" s="362">
        <f t="shared" si="53"/>
        <v>104575</v>
      </c>
      <c r="I141" s="309">
        <f t="shared" si="53"/>
        <v>-35053</v>
      </c>
      <c r="J141" s="363"/>
      <c r="K141" s="363"/>
      <c r="L141" s="97"/>
      <c r="M141" s="362">
        <f>SUM(M142:M145)</f>
        <v>152595</v>
      </c>
      <c r="N141" s="362">
        <f>SUM(N142:N145)</f>
        <v>98859.40000000001</v>
      </c>
      <c r="O141" s="309">
        <f>SUM(O142:O145)</f>
        <v>-53735.6</v>
      </c>
      <c r="P141" s="363"/>
      <c r="Q141" s="363"/>
      <c r="R141" s="97"/>
      <c r="S141" s="362">
        <f>SUM(S142:S145)</f>
        <v>152495</v>
      </c>
      <c r="T141" s="362">
        <f>SUM(T142:T145)</f>
        <v>103939.4</v>
      </c>
      <c r="U141" s="309">
        <f>SUM(U142:U145)</f>
        <v>-48555.600000000006</v>
      </c>
      <c r="V141" s="363"/>
      <c r="W141" s="281"/>
      <c r="X141" s="97"/>
    </row>
    <row r="142" spans="1:24" s="8" customFormat="1" ht="15" customHeight="1">
      <c r="A142" s="103" t="s">
        <v>418</v>
      </c>
      <c r="B142" s="10" t="s">
        <v>289</v>
      </c>
      <c r="C142" s="176"/>
      <c r="D142" s="358">
        <f aca="true" t="shared" si="54" ref="D142:I142">SUM(D148+D180)</f>
        <v>989419.73766</v>
      </c>
      <c r="E142" s="358">
        <f t="shared" si="54"/>
        <v>852075.53766</v>
      </c>
      <c r="F142" s="299">
        <f t="shared" si="54"/>
        <v>-137344.19999999995</v>
      </c>
      <c r="G142" s="358">
        <f t="shared" si="54"/>
        <v>139628</v>
      </c>
      <c r="H142" s="358">
        <f t="shared" si="54"/>
        <v>104575</v>
      </c>
      <c r="I142" s="299">
        <f t="shared" si="54"/>
        <v>-35053</v>
      </c>
      <c r="J142" s="359"/>
      <c r="K142" s="359"/>
      <c r="L142" s="111"/>
      <c r="M142" s="358">
        <f>SUM(M148+M180)</f>
        <v>152595</v>
      </c>
      <c r="N142" s="358">
        <f>SUM(N148+N180)</f>
        <v>98859.40000000001</v>
      </c>
      <c r="O142" s="299">
        <f>SUM(O148+O180)</f>
        <v>-53735.6</v>
      </c>
      <c r="P142" s="359"/>
      <c r="Q142" s="359"/>
      <c r="R142" s="111"/>
      <c r="S142" s="358">
        <f>SUM(S148+S180)</f>
        <v>152495</v>
      </c>
      <c r="T142" s="358">
        <f>SUM(T148+T180)</f>
        <v>103939.4</v>
      </c>
      <c r="U142" s="299">
        <f>SUM(U148+U180)</f>
        <v>-48555.600000000006</v>
      </c>
      <c r="V142" s="359"/>
      <c r="W142" s="279"/>
      <c r="X142" s="95"/>
    </row>
    <row r="143" spans="1:24" s="8" customFormat="1" ht="15" customHeight="1">
      <c r="A143" s="103" t="s">
        <v>419</v>
      </c>
      <c r="B143" s="10" t="s">
        <v>290</v>
      </c>
      <c r="C143" s="176"/>
      <c r="D143" s="358">
        <f aca="true" t="shared" si="55" ref="D143:I143">SUM(D181)</f>
        <v>7508.806</v>
      </c>
      <c r="E143" s="358">
        <f t="shared" si="55"/>
        <v>7508.806</v>
      </c>
      <c r="F143" s="304">
        <f t="shared" si="55"/>
        <v>0</v>
      </c>
      <c r="G143" s="358">
        <f t="shared" si="55"/>
        <v>0</v>
      </c>
      <c r="H143" s="358">
        <f t="shared" si="55"/>
        <v>0</v>
      </c>
      <c r="I143" s="304">
        <f t="shared" si="55"/>
        <v>0</v>
      </c>
      <c r="J143" s="359"/>
      <c r="K143" s="359"/>
      <c r="L143" s="116"/>
      <c r="M143" s="358">
        <f>SUM(M181)</f>
        <v>0</v>
      </c>
      <c r="N143" s="358">
        <f>SUM(N181)</f>
        <v>0</v>
      </c>
      <c r="O143" s="304">
        <f>SUM(O181)</f>
        <v>0</v>
      </c>
      <c r="P143" s="359"/>
      <c r="Q143" s="359"/>
      <c r="R143" s="116"/>
      <c r="S143" s="358">
        <f>SUM(S181)</f>
        <v>0</v>
      </c>
      <c r="T143" s="358">
        <f>SUM(T181)</f>
        <v>0</v>
      </c>
      <c r="U143" s="304">
        <f>SUM(U181)</f>
        <v>0</v>
      </c>
      <c r="V143" s="359"/>
      <c r="W143" s="279"/>
      <c r="X143" s="117"/>
    </row>
    <row r="144" spans="1:24" s="8" customFormat="1" ht="15" customHeight="1">
      <c r="A144" s="103" t="s">
        <v>420</v>
      </c>
      <c r="B144" s="10" t="s">
        <v>291</v>
      </c>
      <c r="C144" s="176"/>
      <c r="D144" s="358">
        <f aca="true" t="shared" si="56" ref="D144:I144">SUM(D150+D182)</f>
        <v>1453433.92</v>
      </c>
      <c r="E144" s="358">
        <f t="shared" si="56"/>
        <v>821649.9199999999</v>
      </c>
      <c r="F144" s="304">
        <f t="shared" si="56"/>
        <v>-631784</v>
      </c>
      <c r="G144" s="358">
        <f t="shared" si="56"/>
        <v>0</v>
      </c>
      <c r="H144" s="358">
        <f t="shared" si="56"/>
        <v>0</v>
      </c>
      <c r="I144" s="304">
        <f t="shared" si="56"/>
        <v>0</v>
      </c>
      <c r="J144" s="359"/>
      <c r="K144" s="359"/>
      <c r="L144" s="116"/>
      <c r="M144" s="358">
        <f>SUM(M150+M182)</f>
        <v>0</v>
      </c>
      <c r="N144" s="358">
        <f>SUM(N150+N182)</f>
        <v>0</v>
      </c>
      <c r="O144" s="304">
        <f>SUM(O150+O182)</f>
        <v>0</v>
      </c>
      <c r="P144" s="359"/>
      <c r="Q144" s="359"/>
      <c r="R144" s="116"/>
      <c r="S144" s="358">
        <f>SUM(S150+S182)</f>
        <v>0</v>
      </c>
      <c r="T144" s="358">
        <f>SUM(T150+T182)</f>
        <v>0</v>
      </c>
      <c r="U144" s="304">
        <f>SUM(U150+U182)</f>
        <v>0</v>
      </c>
      <c r="V144" s="359"/>
      <c r="W144" s="279"/>
      <c r="X144" s="117"/>
    </row>
    <row r="145" spans="1:24" s="8" customFormat="1" ht="15" customHeight="1">
      <c r="A145" s="103" t="s">
        <v>421</v>
      </c>
      <c r="B145" s="10" t="s">
        <v>292</v>
      </c>
      <c r="C145" s="176"/>
      <c r="D145" s="358">
        <f aca="true" t="shared" si="57" ref="D145:I145">SUM(D183)</f>
        <v>12697.4</v>
      </c>
      <c r="E145" s="358">
        <f t="shared" si="57"/>
        <v>7597.4</v>
      </c>
      <c r="F145" s="304">
        <f t="shared" si="57"/>
        <v>-5100</v>
      </c>
      <c r="G145" s="358">
        <f t="shared" si="57"/>
        <v>0</v>
      </c>
      <c r="H145" s="358">
        <f t="shared" si="57"/>
        <v>0</v>
      </c>
      <c r="I145" s="304">
        <f t="shared" si="57"/>
        <v>0</v>
      </c>
      <c r="J145" s="359"/>
      <c r="K145" s="359"/>
      <c r="L145" s="116"/>
      <c r="M145" s="358">
        <f>SUM(M183)</f>
        <v>0</v>
      </c>
      <c r="N145" s="358">
        <f>SUM(N183)</f>
        <v>0</v>
      </c>
      <c r="O145" s="304">
        <f>SUM(O183)</f>
        <v>0</v>
      </c>
      <c r="P145" s="359"/>
      <c r="Q145" s="359"/>
      <c r="R145" s="116"/>
      <c r="S145" s="358">
        <f>SUM(S183)</f>
        <v>0</v>
      </c>
      <c r="T145" s="358">
        <f>SUM(T183)</f>
        <v>0</v>
      </c>
      <c r="U145" s="304">
        <f>SUM(U183)</f>
        <v>0</v>
      </c>
      <c r="V145" s="359"/>
      <c r="W145" s="279"/>
      <c r="X145" s="117"/>
    </row>
    <row r="146" spans="1:24" s="8" customFormat="1" ht="15" customHeight="1">
      <c r="A146" s="166"/>
      <c r="B146" s="232"/>
      <c r="C146" s="233"/>
      <c r="D146" s="432" t="s">
        <v>293</v>
      </c>
      <c r="E146" s="433"/>
      <c r="F146" s="433"/>
      <c r="G146" s="433"/>
      <c r="H146" s="433"/>
      <c r="I146" s="433"/>
      <c r="J146" s="433"/>
      <c r="K146" s="433"/>
      <c r="L146" s="434"/>
      <c r="M146" s="432" t="s">
        <v>293</v>
      </c>
      <c r="N146" s="433"/>
      <c r="O146" s="433"/>
      <c r="P146" s="433"/>
      <c r="Q146" s="433"/>
      <c r="R146" s="433"/>
      <c r="S146" s="433"/>
      <c r="T146" s="433"/>
      <c r="U146" s="433"/>
      <c r="V146" s="433"/>
      <c r="W146" s="433"/>
      <c r="X146" s="433"/>
    </row>
    <row r="147" spans="1:24" s="39" customFormat="1" ht="36.75" customHeight="1">
      <c r="A147" s="103" t="s">
        <v>422</v>
      </c>
      <c r="B147" s="43" t="s">
        <v>316</v>
      </c>
      <c r="C147" s="176"/>
      <c r="D147" s="362">
        <f aca="true" t="shared" si="58" ref="D147:I147">SUM(D148:D150)</f>
        <v>3000</v>
      </c>
      <c r="E147" s="362">
        <f t="shared" si="58"/>
        <v>0</v>
      </c>
      <c r="F147" s="309">
        <f t="shared" si="58"/>
        <v>-3000</v>
      </c>
      <c r="G147" s="362">
        <f t="shared" si="58"/>
        <v>3000</v>
      </c>
      <c r="H147" s="362">
        <f t="shared" si="58"/>
        <v>0</v>
      </c>
      <c r="I147" s="309">
        <f t="shared" si="58"/>
        <v>-3000</v>
      </c>
      <c r="J147" s="363"/>
      <c r="K147" s="363"/>
      <c r="L147" s="97"/>
      <c r="M147" s="362">
        <f>SUM(M148:M150)</f>
        <v>0</v>
      </c>
      <c r="N147" s="362">
        <f>SUM(N148:N150)</f>
        <v>0</v>
      </c>
      <c r="O147" s="309">
        <f>SUM(O148:O150)</f>
        <v>0</v>
      </c>
      <c r="P147" s="363"/>
      <c r="Q147" s="363"/>
      <c r="R147" s="97"/>
      <c r="S147" s="362">
        <f>SUM(S148:S150)</f>
        <v>0</v>
      </c>
      <c r="T147" s="362">
        <f>SUM(T148:T150)</f>
        <v>0</v>
      </c>
      <c r="U147" s="309">
        <f>SUM(U148:U150)</f>
        <v>0</v>
      </c>
      <c r="V147" s="363"/>
      <c r="W147" s="363"/>
      <c r="X147" s="97"/>
    </row>
    <row r="148" spans="1:24" s="8" customFormat="1" ht="15" customHeight="1">
      <c r="A148" s="103" t="s">
        <v>423</v>
      </c>
      <c r="B148" s="10" t="s">
        <v>289</v>
      </c>
      <c r="C148" s="176"/>
      <c r="D148" s="358">
        <f aca="true" t="shared" si="59" ref="D148:I148">SUM(D154+D165)</f>
        <v>3000</v>
      </c>
      <c r="E148" s="358">
        <f t="shared" si="59"/>
        <v>0</v>
      </c>
      <c r="F148" s="304">
        <f t="shared" si="59"/>
        <v>-3000</v>
      </c>
      <c r="G148" s="358">
        <f t="shared" si="59"/>
        <v>3000</v>
      </c>
      <c r="H148" s="358">
        <f t="shared" si="59"/>
        <v>0</v>
      </c>
      <c r="I148" s="304">
        <f t="shared" si="59"/>
        <v>-3000</v>
      </c>
      <c r="J148" s="359"/>
      <c r="K148" s="359"/>
      <c r="L148" s="116"/>
      <c r="M148" s="358">
        <f>SUM(M154+M165)</f>
        <v>0</v>
      </c>
      <c r="N148" s="358">
        <f>SUM(N154+N165)</f>
        <v>0</v>
      </c>
      <c r="O148" s="304">
        <f>SUM(O154+O165)</f>
        <v>0</v>
      </c>
      <c r="P148" s="359"/>
      <c r="Q148" s="359"/>
      <c r="R148" s="116"/>
      <c r="S148" s="358">
        <f>SUM(S154+S165)</f>
        <v>0</v>
      </c>
      <c r="T148" s="358">
        <f>SUM(T154+T165)</f>
        <v>0</v>
      </c>
      <c r="U148" s="304">
        <f>SUM(U154+U165)</f>
        <v>0</v>
      </c>
      <c r="V148" s="359"/>
      <c r="W148" s="359"/>
      <c r="X148" s="116"/>
    </row>
    <row r="149" spans="1:24" s="8" customFormat="1" ht="15" customHeight="1">
      <c r="A149" s="103" t="s">
        <v>424</v>
      </c>
      <c r="B149" s="10" t="s">
        <v>290</v>
      </c>
      <c r="C149" s="176"/>
      <c r="D149" s="358"/>
      <c r="E149" s="358"/>
      <c r="F149" s="304"/>
      <c r="G149" s="358"/>
      <c r="H149" s="358"/>
      <c r="I149" s="304"/>
      <c r="J149" s="359"/>
      <c r="K149" s="359"/>
      <c r="L149" s="116"/>
      <c r="M149" s="358"/>
      <c r="N149" s="358"/>
      <c r="O149" s="304"/>
      <c r="P149" s="359"/>
      <c r="Q149" s="359"/>
      <c r="R149" s="116"/>
      <c r="S149" s="358"/>
      <c r="T149" s="358"/>
      <c r="U149" s="304"/>
      <c r="V149" s="359"/>
      <c r="W149" s="359"/>
      <c r="X149" s="116"/>
    </row>
    <row r="150" spans="1:24" s="8" customFormat="1" ht="15" customHeight="1">
      <c r="A150" s="103" t="s">
        <v>425</v>
      </c>
      <c r="B150" s="10" t="s">
        <v>291</v>
      </c>
      <c r="C150" s="176"/>
      <c r="D150" s="358">
        <f aca="true" t="shared" si="60" ref="D150:I150">SUM(D156+D166)</f>
        <v>0</v>
      </c>
      <c r="E150" s="358">
        <f t="shared" si="60"/>
        <v>0</v>
      </c>
      <c r="F150" s="304">
        <f t="shared" si="60"/>
        <v>0</v>
      </c>
      <c r="G150" s="358">
        <f t="shared" si="60"/>
        <v>0</v>
      </c>
      <c r="H150" s="358">
        <f t="shared" si="60"/>
        <v>0</v>
      </c>
      <c r="I150" s="304">
        <f t="shared" si="60"/>
        <v>0</v>
      </c>
      <c r="J150" s="359"/>
      <c r="K150" s="359"/>
      <c r="L150" s="116"/>
      <c r="M150" s="358">
        <f>SUM(M156+M166)</f>
        <v>0</v>
      </c>
      <c r="N150" s="358">
        <f>SUM(N156+N166)</f>
        <v>0</v>
      </c>
      <c r="O150" s="304">
        <f>SUM(O156+O166)</f>
        <v>0</v>
      </c>
      <c r="P150" s="359"/>
      <c r="Q150" s="359"/>
      <c r="R150" s="116"/>
      <c r="S150" s="358">
        <f>SUM(S156+S166)</f>
        <v>0</v>
      </c>
      <c r="T150" s="358">
        <f>SUM(T156+T166)</f>
        <v>0</v>
      </c>
      <c r="U150" s="304">
        <f>SUM(U156+U166)</f>
        <v>0</v>
      </c>
      <c r="V150" s="359"/>
      <c r="W150" s="359"/>
      <c r="X150" s="116"/>
    </row>
    <row r="151" spans="1:24" s="8" customFormat="1" ht="15" customHeight="1">
      <c r="A151" s="103"/>
      <c r="B151" s="10"/>
      <c r="C151" s="176"/>
      <c r="D151" s="364"/>
      <c r="E151" s="364"/>
      <c r="F151" s="312"/>
      <c r="G151" s="364"/>
      <c r="H151" s="364"/>
      <c r="I151" s="312"/>
      <c r="J151" s="365"/>
      <c r="K151" s="365"/>
      <c r="L151" s="152"/>
      <c r="M151" s="364"/>
      <c r="N151" s="364"/>
      <c r="O151" s="312"/>
      <c r="P151" s="365"/>
      <c r="Q151" s="365"/>
      <c r="R151" s="152"/>
      <c r="S151" s="364"/>
      <c r="T151" s="364"/>
      <c r="U151" s="312"/>
      <c r="V151" s="365"/>
      <c r="W151" s="365"/>
      <c r="X151" s="152"/>
    </row>
    <row r="152" spans="1:24" s="8" customFormat="1" ht="15" customHeight="1">
      <c r="A152" s="167"/>
      <c r="B152" s="234"/>
      <c r="C152" s="235"/>
      <c r="D152" s="420" t="s">
        <v>294</v>
      </c>
      <c r="E152" s="421"/>
      <c r="F152" s="421"/>
      <c r="G152" s="421"/>
      <c r="H152" s="421"/>
      <c r="I152" s="421"/>
      <c r="J152" s="421"/>
      <c r="K152" s="421"/>
      <c r="L152" s="422"/>
      <c r="M152" s="420" t="s">
        <v>294</v>
      </c>
      <c r="N152" s="421"/>
      <c r="O152" s="421"/>
      <c r="P152" s="421"/>
      <c r="Q152" s="421"/>
      <c r="R152" s="421"/>
      <c r="S152" s="421"/>
      <c r="T152" s="421"/>
      <c r="U152" s="421"/>
      <c r="V152" s="421"/>
      <c r="W152" s="421"/>
      <c r="X152" s="421"/>
    </row>
    <row r="153" spans="1:24" s="39" customFormat="1" ht="52.5" customHeight="1">
      <c r="A153" s="103" t="s">
        <v>426</v>
      </c>
      <c r="B153" s="43" t="s">
        <v>572</v>
      </c>
      <c r="C153" s="176"/>
      <c r="D153" s="362">
        <f aca="true" t="shared" si="61" ref="D153:I153">SUM(D154:D156)</f>
        <v>0</v>
      </c>
      <c r="E153" s="362">
        <f t="shared" si="61"/>
        <v>0</v>
      </c>
      <c r="F153" s="309">
        <f t="shared" si="61"/>
        <v>0</v>
      </c>
      <c r="G153" s="362">
        <f t="shared" si="61"/>
        <v>0</v>
      </c>
      <c r="H153" s="362">
        <f t="shared" si="61"/>
        <v>0</v>
      </c>
      <c r="I153" s="309">
        <f t="shared" si="61"/>
        <v>0</v>
      </c>
      <c r="J153" s="363"/>
      <c r="K153" s="363"/>
      <c r="L153" s="97"/>
      <c r="M153" s="362">
        <f>SUM(M154:M156)</f>
        <v>0</v>
      </c>
      <c r="N153" s="362">
        <f>SUM(N154:N156)</f>
        <v>0</v>
      </c>
      <c r="O153" s="309">
        <f>SUM(O154:O156)</f>
        <v>0</v>
      </c>
      <c r="P153" s="363"/>
      <c r="Q153" s="363"/>
      <c r="R153" s="97"/>
      <c r="S153" s="362">
        <f>SUM(S154:S156)</f>
        <v>0</v>
      </c>
      <c r="T153" s="362">
        <f>SUM(T154:T156)</f>
        <v>0</v>
      </c>
      <c r="U153" s="309">
        <f>SUM(U154:U156)</f>
        <v>0</v>
      </c>
      <c r="V153" s="363"/>
      <c r="W153" s="363"/>
      <c r="X153" s="97"/>
    </row>
    <row r="154" spans="1:24" s="8" customFormat="1" ht="15" customHeight="1">
      <c r="A154" s="103" t="s">
        <v>427</v>
      </c>
      <c r="B154" s="10" t="s">
        <v>289</v>
      </c>
      <c r="C154" s="176"/>
      <c r="D154" s="364">
        <f>SUM(D159)</f>
        <v>0</v>
      </c>
      <c r="E154" s="364">
        <f aca="true" t="shared" si="62" ref="E154:F156">SUM(E159)</f>
        <v>0</v>
      </c>
      <c r="F154" s="312">
        <f t="shared" si="62"/>
        <v>0</v>
      </c>
      <c r="G154" s="364">
        <f aca="true" t="shared" si="63" ref="G154:I156">SUM(G159)</f>
        <v>0</v>
      </c>
      <c r="H154" s="364">
        <f t="shared" si="63"/>
        <v>0</v>
      </c>
      <c r="I154" s="312">
        <f t="shared" si="63"/>
        <v>0</v>
      </c>
      <c r="J154" s="365"/>
      <c r="K154" s="365"/>
      <c r="L154" s="152"/>
      <c r="M154" s="364">
        <f aca="true" t="shared" si="64" ref="M154:O156">SUM(M159)</f>
        <v>0</v>
      </c>
      <c r="N154" s="364">
        <f t="shared" si="64"/>
        <v>0</v>
      </c>
      <c r="O154" s="312">
        <f t="shared" si="64"/>
        <v>0</v>
      </c>
      <c r="P154" s="365"/>
      <c r="Q154" s="365"/>
      <c r="R154" s="152"/>
      <c r="S154" s="364">
        <f aca="true" t="shared" si="65" ref="S154:U156">SUM(S159)</f>
        <v>0</v>
      </c>
      <c r="T154" s="364">
        <f t="shared" si="65"/>
        <v>0</v>
      </c>
      <c r="U154" s="312">
        <f t="shared" si="65"/>
        <v>0</v>
      </c>
      <c r="V154" s="365"/>
      <c r="W154" s="365"/>
      <c r="X154" s="152"/>
    </row>
    <row r="155" spans="1:24" s="8" customFormat="1" ht="15" customHeight="1">
      <c r="A155" s="103" t="s">
        <v>428</v>
      </c>
      <c r="B155" s="10" t="s">
        <v>290</v>
      </c>
      <c r="C155" s="176"/>
      <c r="D155" s="364">
        <f>SUM(D160)</f>
        <v>0</v>
      </c>
      <c r="E155" s="364">
        <f t="shared" si="62"/>
        <v>0</v>
      </c>
      <c r="F155" s="312">
        <f t="shared" si="62"/>
        <v>0</v>
      </c>
      <c r="G155" s="364">
        <f t="shared" si="63"/>
        <v>0</v>
      </c>
      <c r="H155" s="364">
        <f t="shared" si="63"/>
        <v>0</v>
      </c>
      <c r="I155" s="312">
        <f t="shared" si="63"/>
        <v>0</v>
      </c>
      <c r="J155" s="365"/>
      <c r="K155" s="365"/>
      <c r="L155" s="152"/>
      <c r="M155" s="364">
        <f t="shared" si="64"/>
        <v>0</v>
      </c>
      <c r="N155" s="364">
        <f t="shared" si="64"/>
        <v>0</v>
      </c>
      <c r="O155" s="312">
        <f t="shared" si="64"/>
        <v>0</v>
      </c>
      <c r="P155" s="365"/>
      <c r="Q155" s="365"/>
      <c r="R155" s="152"/>
      <c r="S155" s="364">
        <f t="shared" si="65"/>
        <v>0</v>
      </c>
      <c r="T155" s="364">
        <f t="shared" si="65"/>
        <v>0</v>
      </c>
      <c r="U155" s="312">
        <f t="shared" si="65"/>
        <v>0</v>
      </c>
      <c r="V155" s="365"/>
      <c r="W155" s="365"/>
      <c r="X155" s="152"/>
    </row>
    <row r="156" spans="1:24" s="8" customFormat="1" ht="15" customHeight="1">
      <c r="A156" s="103" t="s">
        <v>429</v>
      </c>
      <c r="B156" s="10" t="s">
        <v>291</v>
      </c>
      <c r="C156" s="176"/>
      <c r="D156" s="364">
        <f>SUM(D161)</f>
        <v>0</v>
      </c>
      <c r="E156" s="364">
        <f t="shared" si="62"/>
        <v>0</v>
      </c>
      <c r="F156" s="312">
        <f t="shared" si="62"/>
        <v>0</v>
      </c>
      <c r="G156" s="364">
        <f t="shared" si="63"/>
        <v>0</v>
      </c>
      <c r="H156" s="364">
        <f t="shared" si="63"/>
        <v>0</v>
      </c>
      <c r="I156" s="312">
        <f t="shared" si="63"/>
        <v>0</v>
      </c>
      <c r="J156" s="365"/>
      <c r="K156" s="365"/>
      <c r="L156" s="152"/>
      <c r="M156" s="364">
        <f t="shared" si="64"/>
        <v>0</v>
      </c>
      <c r="N156" s="364">
        <f t="shared" si="64"/>
        <v>0</v>
      </c>
      <c r="O156" s="312">
        <f t="shared" si="64"/>
        <v>0</v>
      </c>
      <c r="P156" s="365"/>
      <c r="Q156" s="365"/>
      <c r="R156" s="152"/>
      <c r="S156" s="364">
        <f t="shared" si="65"/>
        <v>0</v>
      </c>
      <c r="T156" s="364">
        <f t="shared" si="65"/>
        <v>0</v>
      </c>
      <c r="U156" s="312">
        <f t="shared" si="65"/>
        <v>0</v>
      </c>
      <c r="V156" s="365"/>
      <c r="W156" s="365"/>
      <c r="X156" s="152"/>
    </row>
    <row r="157" spans="1:24" s="8" customFormat="1" ht="15" customHeight="1">
      <c r="A157" s="103"/>
      <c r="B157" s="10"/>
      <c r="C157" s="176"/>
      <c r="D157" s="364"/>
      <c r="E157" s="364"/>
      <c r="F157" s="312"/>
      <c r="G157" s="364"/>
      <c r="H157" s="364"/>
      <c r="I157" s="312"/>
      <c r="J157" s="365"/>
      <c r="K157" s="365"/>
      <c r="L157" s="152"/>
      <c r="M157" s="364"/>
      <c r="N157" s="364"/>
      <c r="O157" s="312"/>
      <c r="P157" s="365"/>
      <c r="Q157" s="365"/>
      <c r="R157" s="152"/>
      <c r="S157" s="364"/>
      <c r="T157" s="364"/>
      <c r="U157" s="312"/>
      <c r="V157" s="365"/>
      <c r="W157" s="365"/>
      <c r="X157" s="152"/>
    </row>
    <row r="158" spans="1:24" s="8" customFormat="1" ht="69" customHeight="1">
      <c r="A158" s="103" t="s">
        <v>636</v>
      </c>
      <c r="B158" s="43" t="s">
        <v>625</v>
      </c>
      <c r="C158" s="187" t="s">
        <v>33</v>
      </c>
      <c r="D158" s="362">
        <f aca="true" t="shared" si="66" ref="D158:I158">SUM(D159:D161)</f>
        <v>0</v>
      </c>
      <c r="E158" s="362">
        <f t="shared" si="66"/>
        <v>0</v>
      </c>
      <c r="F158" s="309">
        <f t="shared" si="66"/>
        <v>0</v>
      </c>
      <c r="G158" s="362">
        <f t="shared" si="66"/>
        <v>0</v>
      </c>
      <c r="H158" s="362">
        <f t="shared" si="66"/>
        <v>0</v>
      </c>
      <c r="I158" s="309">
        <f t="shared" si="66"/>
        <v>0</v>
      </c>
      <c r="J158" s="363"/>
      <c r="K158" s="363"/>
      <c r="L158" s="97"/>
      <c r="M158" s="362">
        <f>SUM(M159:M161)</f>
        <v>0</v>
      </c>
      <c r="N158" s="362">
        <f>SUM(N159:N161)</f>
        <v>0</v>
      </c>
      <c r="O158" s="309">
        <f>SUM(O159:O161)</f>
        <v>0</v>
      </c>
      <c r="P158" s="363"/>
      <c r="Q158" s="363"/>
      <c r="R158" s="97"/>
      <c r="S158" s="362">
        <f>SUM(S159:S161)</f>
        <v>0</v>
      </c>
      <c r="T158" s="362">
        <f>SUM(T159:T161)</f>
        <v>0</v>
      </c>
      <c r="U158" s="309">
        <f>SUM(U159:U161)</f>
        <v>0</v>
      </c>
      <c r="V158" s="363"/>
      <c r="W158" s="363"/>
      <c r="X158" s="97"/>
    </row>
    <row r="159" spans="1:24" s="8" customFormat="1" ht="15" customHeight="1">
      <c r="A159" s="103" t="s">
        <v>430</v>
      </c>
      <c r="B159" s="10" t="s">
        <v>289</v>
      </c>
      <c r="C159" s="176"/>
      <c r="D159" s="352"/>
      <c r="E159" s="352"/>
      <c r="F159" s="304">
        <f>E159-D159</f>
        <v>0</v>
      </c>
      <c r="G159" s="352"/>
      <c r="H159" s="358"/>
      <c r="I159" s="304">
        <f>H159-G159</f>
        <v>0</v>
      </c>
      <c r="J159" s="359"/>
      <c r="K159" s="359"/>
      <c r="L159" s="116"/>
      <c r="M159" s="352"/>
      <c r="N159" s="358"/>
      <c r="O159" s="304">
        <f>N159-M159</f>
        <v>0</v>
      </c>
      <c r="P159" s="359"/>
      <c r="Q159" s="359"/>
      <c r="R159" s="116"/>
      <c r="S159" s="352"/>
      <c r="T159" s="358"/>
      <c r="U159" s="304">
        <f>T159-S159</f>
        <v>0</v>
      </c>
      <c r="V159" s="359"/>
      <c r="W159" s="359"/>
      <c r="X159" s="116"/>
    </row>
    <row r="160" spans="1:24" s="8" customFormat="1" ht="15" customHeight="1">
      <c r="A160" s="103" t="s">
        <v>637</v>
      </c>
      <c r="B160" s="10" t="s">
        <v>290</v>
      </c>
      <c r="C160" s="176"/>
      <c r="D160" s="297"/>
      <c r="E160" s="298"/>
      <c r="F160" s="304">
        <f>E160-D160</f>
        <v>0</v>
      </c>
      <c r="G160" s="297"/>
      <c r="H160" s="303"/>
      <c r="I160" s="304">
        <f>H160-G160</f>
        <v>0</v>
      </c>
      <c r="J160" s="265"/>
      <c r="K160" s="279"/>
      <c r="L160" s="116"/>
      <c r="M160" s="352"/>
      <c r="N160" s="358"/>
      <c r="O160" s="304">
        <f>N160-M160</f>
        <v>0</v>
      </c>
      <c r="P160" s="359"/>
      <c r="Q160" s="359"/>
      <c r="R160" s="116"/>
      <c r="S160" s="352"/>
      <c r="T160" s="358"/>
      <c r="U160" s="304">
        <f>T160-S160</f>
        <v>0</v>
      </c>
      <c r="V160" s="359"/>
      <c r="W160" s="359"/>
      <c r="X160" s="116"/>
    </row>
    <row r="161" spans="1:24" s="8" customFormat="1" ht="15" customHeight="1">
      <c r="A161" s="103" t="s">
        <v>638</v>
      </c>
      <c r="B161" s="10" t="s">
        <v>291</v>
      </c>
      <c r="C161" s="176"/>
      <c r="D161" s="297"/>
      <c r="E161" s="298"/>
      <c r="F161" s="304">
        <f>E161-D161</f>
        <v>0</v>
      </c>
      <c r="G161" s="297"/>
      <c r="H161" s="303"/>
      <c r="I161" s="304">
        <f>H161-G161</f>
        <v>0</v>
      </c>
      <c r="J161" s="265"/>
      <c r="K161" s="279"/>
      <c r="L161" s="116"/>
      <c r="M161" s="352"/>
      <c r="N161" s="358"/>
      <c r="O161" s="304">
        <f>N161-M161</f>
        <v>0</v>
      </c>
      <c r="P161" s="359"/>
      <c r="Q161" s="359"/>
      <c r="R161" s="116"/>
      <c r="S161" s="352"/>
      <c r="T161" s="358"/>
      <c r="U161" s="304">
        <f>T161-S161</f>
        <v>0</v>
      </c>
      <c r="V161" s="359"/>
      <c r="W161" s="359"/>
      <c r="X161" s="116"/>
    </row>
    <row r="162" spans="1:24" s="8" customFormat="1" ht="15" customHeight="1">
      <c r="A162" s="103"/>
      <c r="B162" s="10"/>
      <c r="C162" s="176"/>
      <c r="D162" s="310"/>
      <c r="E162" s="311"/>
      <c r="F162" s="317"/>
      <c r="G162" s="310"/>
      <c r="H162" s="311"/>
      <c r="I162" s="317"/>
      <c r="J162" s="268"/>
      <c r="K162" s="282"/>
      <c r="L162" s="118"/>
      <c r="M162" s="364"/>
      <c r="N162" s="364"/>
      <c r="O162" s="312"/>
      <c r="P162" s="365"/>
      <c r="Q162" s="365"/>
      <c r="R162" s="152"/>
      <c r="S162" s="364"/>
      <c r="T162" s="364"/>
      <c r="U162" s="312"/>
      <c r="V162" s="365"/>
      <c r="W162" s="365"/>
      <c r="X162" s="152"/>
    </row>
    <row r="163" spans="1:24" s="8" customFormat="1" ht="15" customHeight="1">
      <c r="A163" s="167"/>
      <c r="B163" s="234"/>
      <c r="C163" s="235"/>
      <c r="D163" s="420" t="s">
        <v>305</v>
      </c>
      <c r="E163" s="421"/>
      <c r="F163" s="421"/>
      <c r="G163" s="421"/>
      <c r="H163" s="421"/>
      <c r="I163" s="421"/>
      <c r="J163" s="421"/>
      <c r="K163" s="421"/>
      <c r="L163" s="422"/>
      <c r="M163" s="420" t="s">
        <v>305</v>
      </c>
      <c r="N163" s="421"/>
      <c r="O163" s="421"/>
      <c r="P163" s="421"/>
      <c r="Q163" s="421"/>
      <c r="R163" s="421"/>
      <c r="S163" s="421"/>
      <c r="T163" s="421"/>
      <c r="U163" s="421"/>
      <c r="V163" s="421"/>
      <c r="W163" s="421"/>
      <c r="X163" s="421"/>
    </row>
    <row r="164" spans="1:24" s="41" customFormat="1" ht="31.5">
      <c r="A164" s="99" t="s">
        <v>639</v>
      </c>
      <c r="B164" s="46" t="s">
        <v>573</v>
      </c>
      <c r="C164" s="177"/>
      <c r="D164" s="392">
        <f aca="true" t="shared" si="67" ref="D164:I164">SUM(D165:D166)</f>
        <v>3000</v>
      </c>
      <c r="E164" s="392">
        <f t="shared" si="67"/>
        <v>0</v>
      </c>
      <c r="F164" s="204">
        <f t="shared" si="67"/>
        <v>-3000</v>
      </c>
      <c r="G164" s="392">
        <f t="shared" si="67"/>
        <v>3000</v>
      </c>
      <c r="H164" s="392">
        <f t="shared" si="67"/>
        <v>0</v>
      </c>
      <c r="I164" s="204">
        <f t="shared" si="67"/>
        <v>-3000</v>
      </c>
      <c r="J164" s="393"/>
      <c r="K164" s="393"/>
      <c r="L164" s="114"/>
      <c r="M164" s="392">
        <f>SUM(M165:M166)</f>
        <v>0</v>
      </c>
      <c r="N164" s="392">
        <f>SUM(N165:N166)</f>
        <v>0</v>
      </c>
      <c r="O164" s="204">
        <f>SUM(O165:O166)</f>
        <v>0</v>
      </c>
      <c r="P164" s="393"/>
      <c r="Q164" s="393"/>
      <c r="R164" s="114"/>
      <c r="S164" s="392">
        <f>SUM(S165:S166)</f>
        <v>0</v>
      </c>
      <c r="T164" s="392">
        <f>SUM(T165:T166)</f>
        <v>0</v>
      </c>
      <c r="U164" s="204">
        <f>SUM(U165:U166)</f>
        <v>0</v>
      </c>
      <c r="V164" s="393"/>
      <c r="W164" s="393"/>
      <c r="X164" s="114"/>
    </row>
    <row r="165" spans="1:24" s="14" customFormat="1" ht="15" customHeight="1">
      <c r="A165" s="99" t="s">
        <v>640</v>
      </c>
      <c r="B165" s="10" t="s">
        <v>289</v>
      </c>
      <c r="C165" s="177"/>
      <c r="D165" s="352">
        <f aca="true" t="shared" si="68" ref="D165:I166">SUM(D169)</f>
        <v>3000</v>
      </c>
      <c r="E165" s="352">
        <f t="shared" si="68"/>
        <v>0</v>
      </c>
      <c r="F165" s="299">
        <f t="shared" si="68"/>
        <v>-3000</v>
      </c>
      <c r="G165" s="352">
        <f t="shared" si="68"/>
        <v>3000</v>
      </c>
      <c r="H165" s="352">
        <f t="shared" si="68"/>
        <v>0</v>
      </c>
      <c r="I165" s="299">
        <f t="shared" si="68"/>
        <v>-3000</v>
      </c>
      <c r="J165" s="353"/>
      <c r="K165" s="353"/>
      <c r="L165" s="111"/>
      <c r="M165" s="352">
        <f aca="true" t="shared" si="69" ref="M165:O166">SUM(M169)</f>
        <v>0</v>
      </c>
      <c r="N165" s="352">
        <f t="shared" si="69"/>
        <v>0</v>
      </c>
      <c r="O165" s="299">
        <f t="shared" si="69"/>
        <v>0</v>
      </c>
      <c r="P165" s="353"/>
      <c r="Q165" s="353"/>
      <c r="R165" s="111"/>
      <c r="S165" s="352">
        <f aca="true" t="shared" si="70" ref="S165:U166">SUM(S169)</f>
        <v>0</v>
      </c>
      <c r="T165" s="352">
        <f t="shared" si="70"/>
        <v>0</v>
      </c>
      <c r="U165" s="299">
        <f t="shared" si="70"/>
        <v>0</v>
      </c>
      <c r="V165" s="353"/>
      <c r="W165" s="353"/>
      <c r="X165" s="111"/>
    </row>
    <row r="166" spans="1:24" s="14" customFormat="1" ht="15" customHeight="1">
      <c r="A166" s="99" t="s">
        <v>431</v>
      </c>
      <c r="B166" s="10" t="s">
        <v>291</v>
      </c>
      <c r="C166" s="177"/>
      <c r="D166" s="352">
        <f t="shared" si="68"/>
        <v>0</v>
      </c>
      <c r="E166" s="352">
        <f t="shared" si="68"/>
        <v>0</v>
      </c>
      <c r="F166" s="299">
        <f t="shared" si="68"/>
        <v>0</v>
      </c>
      <c r="G166" s="352">
        <f t="shared" si="68"/>
        <v>0</v>
      </c>
      <c r="H166" s="352">
        <f t="shared" si="68"/>
        <v>0</v>
      </c>
      <c r="I166" s="299">
        <f t="shared" si="68"/>
        <v>0</v>
      </c>
      <c r="J166" s="353"/>
      <c r="K166" s="353"/>
      <c r="L166" s="111"/>
      <c r="M166" s="352">
        <f t="shared" si="69"/>
        <v>0</v>
      </c>
      <c r="N166" s="352">
        <f t="shared" si="69"/>
        <v>0</v>
      </c>
      <c r="O166" s="299">
        <f t="shared" si="69"/>
        <v>0</v>
      </c>
      <c r="P166" s="353"/>
      <c r="Q166" s="353"/>
      <c r="R166" s="111"/>
      <c r="S166" s="352">
        <f t="shared" si="70"/>
        <v>0</v>
      </c>
      <c r="T166" s="352">
        <f t="shared" si="70"/>
        <v>0</v>
      </c>
      <c r="U166" s="299">
        <f t="shared" si="70"/>
        <v>0</v>
      </c>
      <c r="V166" s="353"/>
      <c r="W166" s="353"/>
      <c r="X166" s="111"/>
    </row>
    <row r="167" spans="1:24" s="8" customFormat="1" ht="15" customHeight="1">
      <c r="A167" s="103"/>
      <c r="B167" s="10"/>
      <c r="C167" s="176"/>
      <c r="D167" s="364"/>
      <c r="E167" s="364"/>
      <c r="F167" s="312"/>
      <c r="G167" s="364"/>
      <c r="H167" s="364"/>
      <c r="I167" s="312"/>
      <c r="J167" s="365"/>
      <c r="K167" s="365"/>
      <c r="L167" s="152"/>
      <c r="M167" s="364"/>
      <c r="N167" s="364"/>
      <c r="O167" s="312"/>
      <c r="P167" s="365"/>
      <c r="Q167" s="365"/>
      <c r="R167" s="152"/>
      <c r="S167" s="364"/>
      <c r="T167" s="364"/>
      <c r="U167" s="312"/>
      <c r="V167" s="365"/>
      <c r="W167" s="365"/>
      <c r="X167" s="152"/>
    </row>
    <row r="168" spans="1:24" s="8" customFormat="1" ht="99" customHeight="1">
      <c r="A168" s="104" t="s">
        <v>432</v>
      </c>
      <c r="B168" s="122" t="s">
        <v>626</v>
      </c>
      <c r="C168" s="187" t="s">
        <v>33</v>
      </c>
      <c r="D168" s="392">
        <f aca="true" t="shared" si="71" ref="D168:I168">SUM(D169:D170)</f>
        <v>3000</v>
      </c>
      <c r="E168" s="392">
        <f t="shared" si="71"/>
        <v>0</v>
      </c>
      <c r="F168" s="204">
        <f t="shared" si="71"/>
        <v>-3000</v>
      </c>
      <c r="G168" s="392">
        <f t="shared" si="71"/>
        <v>3000</v>
      </c>
      <c r="H168" s="392">
        <f t="shared" si="71"/>
        <v>0</v>
      </c>
      <c r="I168" s="204">
        <f t="shared" si="71"/>
        <v>-3000</v>
      </c>
      <c r="J168" s="394" t="s">
        <v>229</v>
      </c>
      <c r="K168" s="394" t="s">
        <v>229</v>
      </c>
      <c r="L168" s="293" t="s">
        <v>230</v>
      </c>
      <c r="M168" s="392">
        <f>SUM(M169:M170)</f>
        <v>0</v>
      </c>
      <c r="N168" s="392">
        <f>SUM(N169:N170)</f>
        <v>0</v>
      </c>
      <c r="O168" s="204">
        <f>SUM(O169:O170)</f>
        <v>0</v>
      </c>
      <c r="P168" s="394" t="s">
        <v>231</v>
      </c>
      <c r="Q168" s="394" t="s">
        <v>229</v>
      </c>
      <c r="R168" s="293" t="s">
        <v>232</v>
      </c>
      <c r="S168" s="392">
        <f>SUM(S169:S170)</f>
        <v>0</v>
      </c>
      <c r="T168" s="392">
        <f>SUM(T169:T170)</f>
        <v>0</v>
      </c>
      <c r="U168" s="204">
        <f>SUM(U169:U170)</f>
        <v>0</v>
      </c>
      <c r="V168" s="394" t="s">
        <v>231</v>
      </c>
      <c r="W168" s="394" t="s">
        <v>229</v>
      </c>
      <c r="X168" s="293" t="s">
        <v>232</v>
      </c>
    </row>
    <row r="169" spans="1:24" s="8" customFormat="1" ht="15" customHeight="1">
      <c r="A169" s="104" t="s">
        <v>433</v>
      </c>
      <c r="B169" s="10" t="s">
        <v>289</v>
      </c>
      <c r="C169" s="177"/>
      <c r="D169" s="392">
        <f>SUM(D172+D175)</f>
        <v>3000</v>
      </c>
      <c r="E169" s="392">
        <f aca="true" t="shared" si="72" ref="E169:H170">SUM(E172+E175)</f>
        <v>0</v>
      </c>
      <c r="F169" s="204">
        <f t="shared" si="72"/>
        <v>-3000</v>
      </c>
      <c r="G169" s="392">
        <f t="shared" si="72"/>
        <v>3000</v>
      </c>
      <c r="H169" s="392">
        <f t="shared" si="72"/>
        <v>0</v>
      </c>
      <c r="I169" s="204">
        <f>SUM(I172+I175)</f>
        <v>-3000</v>
      </c>
      <c r="J169" s="393"/>
      <c r="K169" s="393"/>
      <c r="L169" s="114"/>
      <c r="M169" s="392">
        <f aca="true" t="shared" si="73" ref="M169:O170">SUM(M172+M175)</f>
        <v>0</v>
      </c>
      <c r="N169" s="392">
        <f t="shared" si="73"/>
        <v>0</v>
      </c>
      <c r="O169" s="204">
        <f t="shared" si="73"/>
        <v>0</v>
      </c>
      <c r="P169" s="393"/>
      <c r="Q169" s="393"/>
      <c r="R169" s="114"/>
      <c r="S169" s="392">
        <f aca="true" t="shared" si="74" ref="S169:U170">SUM(S172+S175)</f>
        <v>0</v>
      </c>
      <c r="T169" s="392">
        <f t="shared" si="74"/>
        <v>0</v>
      </c>
      <c r="U169" s="204">
        <f t="shared" si="74"/>
        <v>0</v>
      </c>
      <c r="V169" s="269"/>
      <c r="W169" s="259"/>
      <c r="X169" s="114"/>
    </row>
    <row r="170" spans="1:24" s="8" customFormat="1" ht="15" customHeight="1">
      <c r="A170" s="104" t="s">
        <v>434</v>
      </c>
      <c r="B170" s="10" t="s">
        <v>291</v>
      </c>
      <c r="C170" s="177"/>
      <c r="D170" s="392">
        <f>SUM(D173+D176)</f>
        <v>0</v>
      </c>
      <c r="E170" s="392">
        <f t="shared" si="72"/>
        <v>0</v>
      </c>
      <c r="F170" s="204">
        <f t="shared" si="72"/>
        <v>0</v>
      </c>
      <c r="G170" s="392">
        <f t="shared" si="72"/>
        <v>0</v>
      </c>
      <c r="H170" s="392">
        <f t="shared" si="72"/>
        <v>0</v>
      </c>
      <c r="I170" s="204">
        <f>SUM(I173+I176)</f>
        <v>0</v>
      </c>
      <c r="J170" s="393"/>
      <c r="K170" s="393"/>
      <c r="L170" s="114"/>
      <c r="M170" s="392">
        <f t="shared" si="73"/>
        <v>0</v>
      </c>
      <c r="N170" s="392">
        <f t="shared" si="73"/>
        <v>0</v>
      </c>
      <c r="O170" s="204">
        <f t="shared" si="73"/>
        <v>0</v>
      </c>
      <c r="P170" s="393"/>
      <c r="Q170" s="393"/>
      <c r="R170" s="114"/>
      <c r="S170" s="392">
        <f t="shared" si="74"/>
        <v>0</v>
      </c>
      <c r="T170" s="392">
        <f t="shared" si="74"/>
        <v>0</v>
      </c>
      <c r="U170" s="204">
        <f t="shared" si="74"/>
        <v>0</v>
      </c>
      <c r="V170" s="269"/>
      <c r="W170" s="259"/>
      <c r="X170" s="114"/>
    </row>
    <row r="171" spans="1:24" s="8" customFormat="1" ht="33" customHeight="1">
      <c r="A171" s="104"/>
      <c r="B171" s="93" t="s">
        <v>583</v>
      </c>
      <c r="C171" s="177"/>
      <c r="D171" s="352"/>
      <c r="E171" s="352"/>
      <c r="F171" s="299"/>
      <c r="G171" s="352"/>
      <c r="H171" s="352"/>
      <c r="I171" s="299"/>
      <c r="J171" s="353"/>
      <c r="K171" s="353"/>
      <c r="L171" s="111"/>
      <c r="M171" s="297"/>
      <c r="N171" s="298"/>
      <c r="O171" s="315"/>
      <c r="P171" s="262"/>
      <c r="Q171" s="260"/>
      <c r="R171" s="95"/>
      <c r="S171" s="297"/>
      <c r="T171" s="298"/>
      <c r="U171" s="315"/>
      <c r="V171" s="262"/>
      <c r="W171" s="260"/>
      <c r="X171" s="95"/>
    </row>
    <row r="172" spans="1:24" s="8" customFormat="1" ht="15" customHeight="1">
      <c r="A172" s="104" t="s">
        <v>435</v>
      </c>
      <c r="B172" s="10" t="s">
        <v>289</v>
      </c>
      <c r="C172" s="177"/>
      <c r="D172" s="352">
        <v>2500</v>
      </c>
      <c r="E172" s="352"/>
      <c r="F172" s="304">
        <f>E172-D172</f>
        <v>-2500</v>
      </c>
      <c r="G172" s="352">
        <v>2500</v>
      </c>
      <c r="H172" s="352"/>
      <c r="I172" s="304">
        <f>H172-G172</f>
        <v>-2500</v>
      </c>
      <c r="J172" s="353"/>
      <c r="K172" s="353"/>
      <c r="L172" s="116"/>
      <c r="M172" s="297"/>
      <c r="N172" s="298"/>
      <c r="O172" s="304">
        <f>N172-M172</f>
        <v>0</v>
      </c>
      <c r="P172" s="262"/>
      <c r="Q172" s="260"/>
      <c r="R172" s="116"/>
      <c r="S172" s="297"/>
      <c r="T172" s="298"/>
      <c r="U172" s="304">
        <f>T172-S172</f>
        <v>0</v>
      </c>
      <c r="V172" s="262"/>
      <c r="W172" s="260"/>
      <c r="X172" s="116"/>
    </row>
    <row r="173" spans="1:24" s="8" customFormat="1" ht="15" customHeight="1">
      <c r="A173" s="104" t="s">
        <v>436</v>
      </c>
      <c r="B173" s="10" t="s">
        <v>291</v>
      </c>
      <c r="C173" s="177"/>
      <c r="D173" s="352"/>
      <c r="E173" s="352"/>
      <c r="F173" s="299"/>
      <c r="G173" s="352"/>
      <c r="H173" s="352"/>
      <c r="I173" s="299"/>
      <c r="J173" s="353"/>
      <c r="K173" s="353"/>
      <c r="L173" s="111"/>
      <c r="M173" s="297"/>
      <c r="N173" s="298"/>
      <c r="O173" s="315"/>
      <c r="P173" s="262"/>
      <c r="Q173" s="260"/>
      <c r="R173" s="95"/>
      <c r="S173" s="297"/>
      <c r="T173" s="298"/>
      <c r="U173" s="315"/>
      <c r="V173" s="262"/>
      <c r="W173" s="260"/>
      <c r="X173" s="95"/>
    </row>
    <row r="174" spans="1:24" s="8" customFormat="1" ht="35.25" customHeight="1">
      <c r="A174" s="104"/>
      <c r="B174" s="93" t="s">
        <v>584</v>
      </c>
      <c r="C174" s="177"/>
      <c r="D174" s="352"/>
      <c r="E174" s="352"/>
      <c r="F174" s="299"/>
      <c r="G174" s="352"/>
      <c r="H174" s="352"/>
      <c r="I174" s="299"/>
      <c r="J174" s="353"/>
      <c r="K174" s="353"/>
      <c r="L174" s="111"/>
      <c r="M174" s="297"/>
      <c r="N174" s="298"/>
      <c r="O174" s="315"/>
      <c r="P174" s="262"/>
      <c r="Q174" s="260"/>
      <c r="R174" s="95"/>
      <c r="S174" s="297"/>
      <c r="T174" s="298"/>
      <c r="U174" s="315"/>
      <c r="V174" s="262"/>
      <c r="W174" s="260"/>
      <c r="X174" s="95"/>
    </row>
    <row r="175" spans="1:24" s="8" customFormat="1" ht="15" customHeight="1">
      <c r="A175" s="104" t="s">
        <v>437</v>
      </c>
      <c r="B175" s="10" t="s">
        <v>289</v>
      </c>
      <c r="C175" s="177"/>
      <c r="D175" s="395">
        <v>500</v>
      </c>
      <c r="E175" s="395"/>
      <c r="F175" s="316">
        <f>E175-D175</f>
        <v>-500</v>
      </c>
      <c r="G175" s="395">
        <v>500</v>
      </c>
      <c r="H175" s="395"/>
      <c r="I175" s="316">
        <f>H175-G175</f>
        <v>-500</v>
      </c>
      <c r="J175" s="396"/>
      <c r="K175" s="396"/>
      <c r="L175" s="117"/>
      <c r="M175" s="297"/>
      <c r="N175" s="298"/>
      <c r="O175" s="304">
        <f>N175-M175</f>
        <v>0</v>
      </c>
      <c r="P175" s="262"/>
      <c r="Q175" s="260"/>
      <c r="R175" s="116"/>
      <c r="S175" s="297"/>
      <c r="T175" s="298"/>
      <c r="U175" s="304">
        <f>T175-S175</f>
        <v>0</v>
      </c>
      <c r="V175" s="262"/>
      <c r="W175" s="260"/>
      <c r="X175" s="116"/>
    </row>
    <row r="176" spans="1:24" s="8" customFormat="1" ht="15" customHeight="1">
      <c r="A176" s="104" t="s">
        <v>438</v>
      </c>
      <c r="B176" s="10" t="s">
        <v>291</v>
      </c>
      <c r="C176" s="177"/>
      <c r="D176" s="395"/>
      <c r="E176" s="395"/>
      <c r="F176" s="315"/>
      <c r="G176" s="395"/>
      <c r="H176" s="395"/>
      <c r="I176" s="315"/>
      <c r="J176" s="396"/>
      <c r="K176" s="396"/>
      <c r="L176" s="95"/>
      <c r="M176" s="297"/>
      <c r="N176" s="298"/>
      <c r="O176" s="315"/>
      <c r="P176" s="262"/>
      <c r="Q176" s="260"/>
      <c r="R176" s="95"/>
      <c r="S176" s="297"/>
      <c r="T176" s="298"/>
      <c r="U176" s="315"/>
      <c r="V176" s="262"/>
      <c r="W176" s="260"/>
      <c r="X176" s="95"/>
    </row>
    <row r="177" spans="1:24" s="8" customFormat="1" ht="15" customHeight="1">
      <c r="A177" s="103"/>
      <c r="B177" s="10"/>
      <c r="C177" s="172"/>
      <c r="D177" s="302"/>
      <c r="E177" s="303"/>
      <c r="F177" s="324"/>
      <c r="G177" s="302"/>
      <c r="H177" s="303"/>
      <c r="I177" s="324"/>
      <c r="J177" s="265"/>
      <c r="K177" s="279"/>
      <c r="L177" s="155"/>
      <c r="M177" s="302"/>
      <c r="N177" s="303"/>
      <c r="O177" s="324"/>
      <c r="P177" s="265"/>
      <c r="Q177" s="279"/>
      <c r="R177" s="155"/>
      <c r="S177" s="302"/>
      <c r="T177" s="303"/>
      <c r="U177" s="324"/>
      <c r="V177" s="265"/>
      <c r="W177" s="279"/>
      <c r="X177" s="155"/>
    </row>
    <row r="178" spans="1:24" s="8" customFormat="1" ht="15" customHeight="1">
      <c r="A178" s="166"/>
      <c r="B178" s="232"/>
      <c r="C178" s="233"/>
      <c r="D178" s="432" t="s">
        <v>297</v>
      </c>
      <c r="E178" s="433"/>
      <c r="F178" s="433"/>
      <c r="G178" s="433"/>
      <c r="H178" s="433"/>
      <c r="I178" s="433"/>
      <c r="J178" s="433"/>
      <c r="K178" s="433"/>
      <c r="L178" s="434"/>
      <c r="M178" s="432" t="s">
        <v>297</v>
      </c>
      <c r="N178" s="433"/>
      <c r="O178" s="433"/>
      <c r="P178" s="433"/>
      <c r="Q178" s="433"/>
      <c r="R178" s="433"/>
      <c r="S178" s="433"/>
      <c r="T178" s="433"/>
      <c r="U178" s="433"/>
      <c r="V178" s="433"/>
      <c r="W178" s="433"/>
      <c r="X178" s="433"/>
    </row>
    <row r="179" spans="1:24" s="39" customFormat="1" ht="22.5" customHeight="1">
      <c r="A179" s="103" t="s">
        <v>439</v>
      </c>
      <c r="B179" s="43" t="s">
        <v>298</v>
      </c>
      <c r="C179" s="176"/>
      <c r="D179" s="362">
        <f aca="true" t="shared" si="75" ref="D179:I179">SUM(D180:D183)</f>
        <v>2460059.86366</v>
      </c>
      <c r="E179" s="362">
        <f t="shared" si="75"/>
        <v>1688831.6636599998</v>
      </c>
      <c r="F179" s="309">
        <f t="shared" si="75"/>
        <v>-771228.2</v>
      </c>
      <c r="G179" s="362">
        <f t="shared" si="75"/>
        <v>136628</v>
      </c>
      <c r="H179" s="362">
        <f t="shared" si="75"/>
        <v>104575</v>
      </c>
      <c r="I179" s="309">
        <f t="shared" si="75"/>
        <v>-32053</v>
      </c>
      <c r="J179" s="363"/>
      <c r="K179" s="363"/>
      <c r="L179" s="97"/>
      <c r="M179" s="362">
        <f>SUM(M180:M183)</f>
        <v>152595</v>
      </c>
      <c r="N179" s="362">
        <f>SUM(N180:N183)</f>
        <v>98859.40000000001</v>
      </c>
      <c r="O179" s="309">
        <f>SUM(O180:O183)</f>
        <v>-53735.6</v>
      </c>
      <c r="P179" s="363"/>
      <c r="Q179" s="363"/>
      <c r="R179" s="97"/>
      <c r="S179" s="362">
        <f>SUM(S180:S183)</f>
        <v>152495</v>
      </c>
      <c r="T179" s="362">
        <f>SUM(T180:T183)</f>
        <v>103939.4</v>
      </c>
      <c r="U179" s="309">
        <f>SUM(U180:U183)</f>
        <v>-48555.600000000006</v>
      </c>
      <c r="V179" s="363"/>
      <c r="W179" s="281"/>
      <c r="X179" s="97"/>
    </row>
    <row r="180" spans="1:24" s="8" customFormat="1" ht="15" customHeight="1">
      <c r="A180" s="103" t="s">
        <v>440</v>
      </c>
      <c r="B180" s="10" t="s">
        <v>289</v>
      </c>
      <c r="C180" s="176"/>
      <c r="D180" s="364">
        <f aca="true" t="shared" si="76" ref="D180:I180">SUM(D186+D197+D227+D238+D241+D256+D267+D271+D272+D278+D285)</f>
        <v>986419.73766</v>
      </c>
      <c r="E180" s="364">
        <f t="shared" si="76"/>
        <v>852075.53766</v>
      </c>
      <c r="F180" s="312">
        <f t="shared" si="76"/>
        <v>-134344.19999999995</v>
      </c>
      <c r="G180" s="364">
        <f t="shared" si="76"/>
        <v>136628</v>
      </c>
      <c r="H180" s="364">
        <f t="shared" si="76"/>
        <v>104575</v>
      </c>
      <c r="I180" s="312">
        <f t="shared" si="76"/>
        <v>-32053</v>
      </c>
      <c r="J180" s="365"/>
      <c r="K180" s="365"/>
      <c r="L180" s="152"/>
      <c r="M180" s="364">
        <f>SUM(M186+M197+M227+M238+M241+M256+M267+M271+M272+M278+M285)</f>
        <v>152595</v>
      </c>
      <c r="N180" s="364">
        <f>SUM(N186+N197+N227+N238+N241+N256+N267+N271+N272+N278+N285)</f>
        <v>98859.40000000001</v>
      </c>
      <c r="O180" s="312">
        <f>SUM(O186+O197+O227+O238+O241+O256+O267+O271+O272+O278+O285)</f>
        <v>-53735.6</v>
      </c>
      <c r="P180" s="365"/>
      <c r="Q180" s="365"/>
      <c r="R180" s="152"/>
      <c r="S180" s="364">
        <f>SUM(S186+S197+S227+S238+S241+S256+S267+S271+S272+S278+S285)</f>
        <v>152495</v>
      </c>
      <c r="T180" s="364">
        <f>SUM(T186+T197+T227+T238+T241+T256+T267+T271+T272+T278+T285)</f>
        <v>103939.4</v>
      </c>
      <c r="U180" s="312">
        <f>SUM(U186+U197+U227+U238+U241+U256+U267+U271+U272+U278+U285)</f>
        <v>-48555.600000000006</v>
      </c>
      <c r="V180" s="365"/>
      <c r="W180" s="282"/>
      <c r="X180" s="118"/>
    </row>
    <row r="181" spans="1:24" s="8" customFormat="1" ht="15" customHeight="1">
      <c r="A181" s="103" t="s">
        <v>441</v>
      </c>
      <c r="B181" s="10" t="s">
        <v>290</v>
      </c>
      <c r="C181" s="176"/>
      <c r="D181" s="366">
        <f>SUM(D228+D258+D287)</f>
        <v>7508.806</v>
      </c>
      <c r="E181" s="366">
        <f>SUM(E228+E258+E287)</f>
        <v>7508.806</v>
      </c>
      <c r="F181" s="333">
        <f>SUM(F228+F258)</f>
        <v>0</v>
      </c>
      <c r="G181" s="366">
        <f>SUM(G228+G258+G287)</f>
        <v>0</v>
      </c>
      <c r="H181" s="366">
        <f>SUM(H228+H258+H287)</f>
        <v>0</v>
      </c>
      <c r="I181" s="333">
        <f>SUM(I228+I258)</f>
        <v>0</v>
      </c>
      <c r="J181" s="397"/>
      <c r="K181" s="397"/>
      <c r="L181" s="158"/>
      <c r="M181" s="366">
        <f>SUM(M228+M258+M287)</f>
        <v>0</v>
      </c>
      <c r="N181" s="366">
        <f>SUM(N228+N258+N287)</f>
        <v>0</v>
      </c>
      <c r="O181" s="333">
        <f>SUM(O228+O258)</f>
        <v>0</v>
      </c>
      <c r="P181" s="397"/>
      <c r="Q181" s="397"/>
      <c r="R181" s="158"/>
      <c r="S181" s="366">
        <f>SUM(S228+S258+S287)</f>
        <v>0</v>
      </c>
      <c r="T181" s="366">
        <f>SUM(T228+T258+T287)</f>
        <v>0</v>
      </c>
      <c r="U181" s="333">
        <f>SUM(U228+U258)</f>
        <v>0</v>
      </c>
      <c r="V181" s="397"/>
      <c r="W181" s="286"/>
      <c r="X181" s="96"/>
    </row>
    <row r="182" spans="1:24" s="8" customFormat="1" ht="15" customHeight="1">
      <c r="A182" s="103" t="s">
        <v>442</v>
      </c>
      <c r="B182" s="10" t="s">
        <v>291</v>
      </c>
      <c r="C182" s="176"/>
      <c r="D182" s="364">
        <f aca="true" t="shared" si="77" ref="D182:I182">SUM(D187+D198+D229+D235+D248+D253+D257+D268+D273+D279)</f>
        <v>1453433.92</v>
      </c>
      <c r="E182" s="364">
        <f t="shared" si="77"/>
        <v>821649.9199999999</v>
      </c>
      <c r="F182" s="312">
        <f t="shared" si="77"/>
        <v>-631784</v>
      </c>
      <c r="G182" s="364">
        <f t="shared" si="77"/>
        <v>0</v>
      </c>
      <c r="H182" s="364">
        <f t="shared" si="77"/>
        <v>0</v>
      </c>
      <c r="I182" s="312">
        <f t="shared" si="77"/>
        <v>0</v>
      </c>
      <c r="J182" s="365"/>
      <c r="K182" s="365"/>
      <c r="L182" s="152"/>
      <c r="M182" s="364">
        <f>SUM(M187+M198+M229+M235+M248+M253+M257+M268+M273+M279)</f>
        <v>0</v>
      </c>
      <c r="N182" s="364">
        <f>SUM(N187+N198+N229+N235+N248+N253+N257+N268+N273+N279)</f>
        <v>0</v>
      </c>
      <c r="O182" s="312">
        <f>SUM(O187+O198+O229+O235+O248+O253+O257+O268+O273+O279)</f>
        <v>0</v>
      </c>
      <c r="P182" s="365"/>
      <c r="Q182" s="365"/>
      <c r="R182" s="152"/>
      <c r="S182" s="364">
        <f>SUM(S187+S198+S229+S235+S248+S253+S257+S268+S273+S279)</f>
        <v>0</v>
      </c>
      <c r="T182" s="364">
        <f>SUM(T187+T198+T229+T235+T248+T253+T257+T268+T273+T279)</f>
        <v>0</v>
      </c>
      <c r="U182" s="312">
        <f>SUM(U187+U198+U229+U235+U248+U253+U257+U268+U273+U279)</f>
        <v>0</v>
      </c>
      <c r="V182" s="365"/>
      <c r="W182" s="282"/>
      <c r="X182" s="118"/>
    </row>
    <row r="183" spans="1:24" s="8" customFormat="1" ht="15" customHeight="1">
      <c r="A183" s="103" t="s">
        <v>443</v>
      </c>
      <c r="B183" s="12" t="s">
        <v>292</v>
      </c>
      <c r="C183" s="176"/>
      <c r="D183" s="364">
        <f aca="true" t="shared" si="78" ref="D183:I183">SUM(D245)</f>
        <v>12697.4</v>
      </c>
      <c r="E183" s="364">
        <f t="shared" si="78"/>
        <v>7597.4</v>
      </c>
      <c r="F183" s="312">
        <f t="shared" si="78"/>
        <v>-5100</v>
      </c>
      <c r="G183" s="364">
        <f t="shared" si="78"/>
        <v>0</v>
      </c>
      <c r="H183" s="364">
        <f t="shared" si="78"/>
        <v>0</v>
      </c>
      <c r="I183" s="312">
        <f t="shared" si="78"/>
        <v>0</v>
      </c>
      <c r="J183" s="365"/>
      <c r="K183" s="365"/>
      <c r="L183" s="152"/>
      <c r="M183" s="364">
        <f>SUM(M245)</f>
        <v>0</v>
      </c>
      <c r="N183" s="364">
        <f>SUM(N245)</f>
        <v>0</v>
      </c>
      <c r="O183" s="312">
        <f>SUM(O245)</f>
        <v>0</v>
      </c>
      <c r="P183" s="365"/>
      <c r="Q183" s="365"/>
      <c r="R183" s="152"/>
      <c r="S183" s="364">
        <f>SUM(S245)</f>
        <v>0</v>
      </c>
      <c r="T183" s="364">
        <f>SUM(T245)</f>
        <v>0</v>
      </c>
      <c r="U183" s="312">
        <f>SUM(U245)</f>
        <v>0</v>
      </c>
      <c r="V183" s="365"/>
      <c r="W183" s="282"/>
      <c r="X183" s="118"/>
    </row>
    <row r="184" spans="1:24" s="8" customFormat="1" ht="15" customHeight="1">
      <c r="A184" s="103"/>
      <c r="B184" s="12"/>
      <c r="C184" s="176"/>
      <c r="D184" s="358"/>
      <c r="E184" s="358"/>
      <c r="F184" s="304"/>
      <c r="G184" s="358"/>
      <c r="H184" s="358"/>
      <c r="I184" s="304"/>
      <c r="J184" s="359"/>
      <c r="K184" s="359"/>
      <c r="L184" s="116"/>
      <c r="M184" s="358"/>
      <c r="N184" s="358"/>
      <c r="O184" s="304"/>
      <c r="P184" s="359"/>
      <c r="Q184" s="359"/>
      <c r="R184" s="116"/>
      <c r="S184" s="358"/>
      <c r="T184" s="358"/>
      <c r="U184" s="304"/>
      <c r="V184" s="359"/>
      <c r="W184" s="279"/>
      <c r="X184" s="117"/>
    </row>
    <row r="185" spans="1:24" s="39" customFormat="1" ht="75.75" customHeight="1">
      <c r="A185" s="104" t="s">
        <v>444</v>
      </c>
      <c r="B185" s="43" t="s">
        <v>627</v>
      </c>
      <c r="C185" s="187" t="s">
        <v>70</v>
      </c>
      <c r="D185" s="360">
        <f aca="true" t="shared" si="79" ref="D185:I185">SUM(D186:D187)</f>
        <v>13470.378</v>
      </c>
      <c r="E185" s="360">
        <f t="shared" si="79"/>
        <v>11913.233</v>
      </c>
      <c r="F185" s="308">
        <f t="shared" si="79"/>
        <v>-1557.1450000000004</v>
      </c>
      <c r="G185" s="360">
        <f t="shared" si="79"/>
        <v>3500</v>
      </c>
      <c r="H185" s="360">
        <f t="shared" si="79"/>
        <v>2392.855</v>
      </c>
      <c r="I185" s="308">
        <f t="shared" si="79"/>
        <v>-1107.145</v>
      </c>
      <c r="J185" s="379" t="s">
        <v>192</v>
      </c>
      <c r="K185" s="379" t="s">
        <v>192</v>
      </c>
      <c r="L185" s="203" t="s">
        <v>113</v>
      </c>
      <c r="M185" s="360">
        <f>SUM(M186:M187)</f>
        <v>3000</v>
      </c>
      <c r="N185" s="360">
        <f>SUM(N186:N187)</f>
        <v>3550</v>
      </c>
      <c r="O185" s="308">
        <f>SUM(O186:O187)</f>
        <v>550</v>
      </c>
      <c r="P185" s="379" t="s">
        <v>193</v>
      </c>
      <c r="Q185" s="379" t="s">
        <v>192</v>
      </c>
      <c r="R185" s="203" t="s">
        <v>233</v>
      </c>
      <c r="S185" s="360">
        <f>SUM(S186:S187)</f>
        <v>3000</v>
      </c>
      <c r="T185" s="360">
        <f>SUM(T186:T187)</f>
        <v>2000</v>
      </c>
      <c r="U185" s="308">
        <f>SUM(U186:U187)</f>
        <v>-1000</v>
      </c>
      <c r="V185" s="379" t="s">
        <v>194</v>
      </c>
      <c r="W185" s="379" t="s">
        <v>192</v>
      </c>
      <c r="X185" s="203" t="s">
        <v>234</v>
      </c>
    </row>
    <row r="186" spans="1:24" s="8" customFormat="1" ht="15" customHeight="1">
      <c r="A186" s="104" t="s">
        <v>445</v>
      </c>
      <c r="B186" s="10" t="s">
        <v>289</v>
      </c>
      <c r="C186" s="176"/>
      <c r="D186" s="398">
        <f aca="true" t="shared" si="80" ref="D186:I186">SUM(D189:D194)</f>
        <v>13470.378</v>
      </c>
      <c r="E186" s="398">
        <f t="shared" si="80"/>
        <v>11913.233</v>
      </c>
      <c r="F186" s="387">
        <f t="shared" si="80"/>
        <v>-1557.1450000000004</v>
      </c>
      <c r="G186" s="398">
        <f t="shared" si="80"/>
        <v>3500</v>
      </c>
      <c r="H186" s="398">
        <f t="shared" si="80"/>
        <v>2392.855</v>
      </c>
      <c r="I186" s="387">
        <f t="shared" si="80"/>
        <v>-1107.145</v>
      </c>
      <c r="J186" s="399"/>
      <c r="K186" s="399"/>
      <c r="L186" s="389"/>
      <c r="M186" s="398">
        <f>SUM(M189:M194)</f>
        <v>3000</v>
      </c>
      <c r="N186" s="398">
        <f>SUM(N189:N194)</f>
        <v>3550</v>
      </c>
      <c r="O186" s="387">
        <f>SUM(O189:O194)</f>
        <v>550</v>
      </c>
      <c r="P186" s="399"/>
      <c r="Q186" s="399"/>
      <c r="R186" s="389"/>
      <c r="S186" s="398">
        <f>SUM(S189:S194)</f>
        <v>3000</v>
      </c>
      <c r="T186" s="398">
        <f>SUM(T189:T194)</f>
        <v>2000</v>
      </c>
      <c r="U186" s="387">
        <f>SUM(U189:U194)</f>
        <v>-1000</v>
      </c>
      <c r="V186" s="399"/>
      <c r="W186" s="399"/>
      <c r="X186" s="389"/>
    </row>
    <row r="187" spans="1:24" s="8" customFormat="1" ht="15" customHeight="1">
      <c r="A187" s="104" t="s">
        <v>446</v>
      </c>
      <c r="B187" s="10" t="s">
        <v>291</v>
      </c>
      <c r="C187" s="176"/>
      <c r="D187" s="398"/>
      <c r="E187" s="398"/>
      <c r="F187" s="387"/>
      <c r="G187" s="398"/>
      <c r="H187" s="398"/>
      <c r="I187" s="387"/>
      <c r="J187" s="399"/>
      <c r="K187" s="399"/>
      <c r="L187" s="389"/>
      <c r="M187" s="398"/>
      <c r="N187" s="398"/>
      <c r="O187" s="387"/>
      <c r="P187" s="399"/>
      <c r="Q187" s="399"/>
      <c r="R187" s="389"/>
      <c r="S187" s="398"/>
      <c r="T187" s="398"/>
      <c r="U187" s="387"/>
      <c r="V187" s="399"/>
      <c r="W187" s="399"/>
      <c r="X187" s="389"/>
    </row>
    <row r="188" spans="1:24" s="13" customFormat="1" ht="15" customHeight="1">
      <c r="A188" s="103"/>
      <c r="B188" s="12" t="s">
        <v>301</v>
      </c>
      <c r="C188" s="176"/>
      <c r="D188" s="385"/>
      <c r="E188" s="385"/>
      <c r="F188" s="323"/>
      <c r="G188" s="385"/>
      <c r="H188" s="385"/>
      <c r="I188" s="323"/>
      <c r="J188" s="400"/>
      <c r="K188" s="400"/>
      <c r="L188" s="154"/>
      <c r="M188" s="385"/>
      <c r="N188" s="385"/>
      <c r="O188" s="323"/>
      <c r="P188" s="400"/>
      <c r="Q188" s="400"/>
      <c r="R188" s="154"/>
      <c r="S188" s="385"/>
      <c r="T188" s="385"/>
      <c r="U188" s="323"/>
      <c r="V188" s="400"/>
      <c r="W188" s="400"/>
      <c r="X188" s="154"/>
    </row>
    <row r="189" spans="1:24" s="8" customFormat="1" ht="15" customHeight="1">
      <c r="A189" s="103" t="s">
        <v>447</v>
      </c>
      <c r="B189" s="10" t="s">
        <v>311</v>
      </c>
      <c r="C189" s="176"/>
      <c r="D189" s="371"/>
      <c r="E189" s="371">
        <v>3550</v>
      </c>
      <c r="F189" s="324">
        <f aca="true" t="shared" si="81" ref="F189:F194">E189-D189</f>
        <v>3550</v>
      </c>
      <c r="G189" s="371"/>
      <c r="H189" s="371"/>
      <c r="I189" s="324">
        <f aca="true" t="shared" si="82" ref="I189:I194">H189-G189</f>
        <v>0</v>
      </c>
      <c r="J189" s="374"/>
      <c r="K189" s="374"/>
      <c r="L189" s="155"/>
      <c r="M189" s="371"/>
      <c r="N189" s="371">
        <v>3550</v>
      </c>
      <c r="O189" s="324">
        <f aca="true" t="shared" si="83" ref="O189:O194">N189-M189</f>
        <v>3550</v>
      </c>
      <c r="P189" s="374"/>
      <c r="Q189" s="374"/>
      <c r="R189" s="155"/>
      <c r="S189" s="371"/>
      <c r="T189" s="371"/>
      <c r="U189" s="324">
        <f aca="true" t="shared" si="84" ref="U189:U194">T189-S189</f>
        <v>0</v>
      </c>
      <c r="V189" s="374"/>
      <c r="W189" s="374"/>
      <c r="X189" s="155"/>
    </row>
    <row r="190" spans="1:24" s="8" customFormat="1" ht="15" customHeight="1">
      <c r="A190" s="103" t="s">
        <v>448</v>
      </c>
      <c r="B190" s="10" t="s">
        <v>312</v>
      </c>
      <c r="C190" s="176"/>
      <c r="D190" s="373">
        <v>2000</v>
      </c>
      <c r="E190" s="373">
        <v>2000</v>
      </c>
      <c r="F190" s="324">
        <f t="shared" si="81"/>
        <v>0</v>
      </c>
      <c r="G190" s="373">
        <v>2000</v>
      </c>
      <c r="H190" s="373"/>
      <c r="I190" s="324">
        <f t="shared" si="82"/>
        <v>-2000</v>
      </c>
      <c r="J190" s="374"/>
      <c r="K190" s="374"/>
      <c r="L190" s="155"/>
      <c r="M190" s="373"/>
      <c r="N190" s="373"/>
      <c r="O190" s="324">
        <f t="shared" si="83"/>
        <v>0</v>
      </c>
      <c r="P190" s="374"/>
      <c r="Q190" s="374"/>
      <c r="R190" s="155"/>
      <c r="S190" s="373"/>
      <c r="T190" s="373">
        <v>2000</v>
      </c>
      <c r="U190" s="324">
        <f t="shared" si="84"/>
        <v>2000</v>
      </c>
      <c r="V190" s="374"/>
      <c r="W190" s="374"/>
      <c r="X190" s="155"/>
    </row>
    <row r="191" spans="1:24" s="8" customFormat="1" ht="15" customHeight="1">
      <c r="A191" s="103" t="s">
        <v>449</v>
      </c>
      <c r="B191" s="10" t="s">
        <v>310</v>
      </c>
      <c r="C191" s="176"/>
      <c r="D191" s="373">
        <v>3970.378</v>
      </c>
      <c r="E191" s="373">
        <v>1863.233</v>
      </c>
      <c r="F191" s="324">
        <f t="shared" si="81"/>
        <v>-2107.1450000000004</v>
      </c>
      <c r="G191" s="373"/>
      <c r="H191" s="373">
        <v>892.855</v>
      </c>
      <c r="I191" s="324">
        <f t="shared" si="82"/>
        <v>892.855</v>
      </c>
      <c r="J191" s="374"/>
      <c r="K191" s="374"/>
      <c r="L191" s="155"/>
      <c r="M191" s="373">
        <v>3000</v>
      </c>
      <c r="N191" s="373"/>
      <c r="O191" s="324">
        <f t="shared" si="83"/>
        <v>-3000</v>
      </c>
      <c r="P191" s="374"/>
      <c r="Q191" s="374"/>
      <c r="R191" s="155"/>
      <c r="S191" s="373"/>
      <c r="T191" s="373"/>
      <c r="U191" s="324">
        <f t="shared" si="84"/>
        <v>0</v>
      </c>
      <c r="V191" s="374"/>
      <c r="W191" s="374"/>
      <c r="X191" s="155"/>
    </row>
    <row r="192" spans="1:24" s="8" customFormat="1" ht="15" customHeight="1">
      <c r="A192" s="103" t="s">
        <v>450</v>
      </c>
      <c r="B192" s="10" t="s">
        <v>375</v>
      </c>
      <c r="C192" s="176"/>
      <c r="D192" s="373">
        <v>2500</v>
      </c>
      <c r="E192" s="373">
        <v>1500</v>
      </c>
      <c r="F192" s="324">
        <f t="shared" si="81"/>
        <v>-1000</v>
      </c>
      <c r="G192" s="373">
        <v>1500</v>
      </c>
      <c r="H192" s="373">
        <v>1500</v>
      </c>
      <c r="I192" s="324">
        <f t="shared" si="82"/>
        <v>0</v>
      </c>
      <c r="J192" s="374"/>
      <c r="K192" s="374"/>
      <c r="L192" s="155"/>
      <c r="M192" s="373"/>
      <c r="N192" s="373"/>
      <c r="O192" s="324">
        <f t="shared" si="83"/>
        <v>0</v>
      </c>
      <c r="P192" s="374"/>
      <c r="Q192" s="374"/>
      <c r="R192" s="155"/>
      <c r="S192" s="373">
        <v>1000</v>
      </c>
      <c r="T192" s="373"/>
      <c r="U192" s="324">
        <f t="shared" si="84"/>
        <v>-1000</v>
      </c>
      <c r="V192" s="374"/>
      <c r="W192" s="374"/>
      <c r="X192" s="155"/>
    </row>
    <row r="193" spans="1:24" s="8" customFormat="1" ht="15" customHeight="1">
      <c r="A193" s="103" t="s">
        <v>451</v>
      </c>
      <c r="B193" s="10" t="s">
        <v>674</v>
      </c>
      <c r="C193" s="176"/>
      <c r="D193" s="373">
        <v>2000</v>
      </c>
      <c r="E193" s="373"/>
      <c r="F193" s="324">
        <f t="shared" si="81"/>
        <v>-2000</v>
      </c>
      <c r="G193" s="373"/>
      <c r="H193" s="373"/>
      <c r="I193" s="324">
        <f t="shared" si="82"/>
        <v>0</v>
      </c>
      <c r="J193" s="374"/>
      <c r="K193" s="374"/>
      <c r="L193" s="155"/>
      <c r="M193" s="373"/>
      <c r="N193" s="373"/>
      <c r="O193" s="324">
        <f t="shared" si="83"/>
        <v>0</v>
      </c>
      <c r="P193" s="374"/>
      <c r="Q193" s="374"/>
      <c r="R193" s="155"/>
      <c r="S193" s="373">
        <v>2000</v>
      </c>
      <c r="T193" s="373"/>
      <c r="U193" s="324">
        <f t="shared" si="84"/>
        <v>-2000</v>
      </c>
      <c r="V193" s="374"/>
      <c r="W193" s="374"/>
      <c r="X193" s="155"/>
    </row>
    <row r="194" spans="1:24" s="8" customFormat="1" ht="15" customHeight="1">
      <c r="A194" s="103" t="s">
        <v>452</v>
      </c>
      <c r="B194" s="10" t="s">
        <v>376</v>
      </c>
      <c r="C194" s="176"/>
      <c r="D194" s="373">
        <v>3000</v>
      </c>
      <c r="E194" s="373">
        <v>3000</v>
      </c>
      <c r="F194" s="324">
        <f t="shared" si="81"/>
        <v>0</v>
      </c>
      <c r="G194" s="373"/>
      <c r="H194" s="373"/>
      <c r="I194" s="324">
        <f t="shared" si="82"/>
        <v>0</v>
      </c>
      <c r="J194" s="374"/>
      <c r="K194" s="374"/>
      <c r="L194" s="155"/>
      <c r="M194" s="373"/>
      <c r="N194" s="373"/>
      <c r="O194" s="324">
        <f t="shared" si="83"/>
        <v>0</v>
      </c>
      <c r="P194" s="374"/>
      <c r="Q194" s="374"/>
      <c r="R194" s="155"/>
      <c r="S194" s="373"/>
      <c r="T194" s="373"/>
      <c r="U194" s="324">
        <f t="shared" si="84"/>
        <v>0</v>
      </c>
      <c r="V194" s="374"/>
      <c r="W194" s="374"/>
      <c r="X194" s="155"/>
    </row>
    <row r="195" spans="1:24" s="8" customFormat="1" ht="15" customHeight="1">
      <c r="A195" s="103"/>
      <c r="B195" s="10"/>
      <c r="C195" s="176"/>
      <c r="D195" s="373"/>
      <c r="E195" s="373"/>
      <c r="F195" s="324"/>
      <c r="G195" s="373"/>
      <c r="H195" s="373"/>
      <c r="I195" s="324"/>
      <c r="J195" s="374"/>
      <c r="K195" s="374"/>
      <c r="L195" s="155"/>
      <c r="M195" s="302"/>
      <c r="N195" s="303"/>
      <c r="O195" s="324"/>
      <c r="P195" s="265"/>
      <c r="Q195" s="279"/>
      <c r="R195" s="155"/>
      <c r="S195" s="302"/>
      <c r="T195" s="303"/>
      <c r="U195" s="324"/>
      <c r="V195" s="265"/>
      <c r="W195" s="279"/>
      <c r="X195" s="155"/>
    </row>
    <row r="196" spans="1:24" s="39" customFormat="1" ht="180" customHeight="1">
      <c r="A196" s="103" t="s">
        <v>453</v>
      </c>
      <c r="B196" s="43" t="s">
        <v>628</v>
      </c>
      <c r="C196" s="188" t="s">
        <v>270</v>
      </c>
      <c r="D196" s="360">
        <f aca="true" t="shared" si="85" ref="D196:I196">SUM(D197:D198)</f>
        <v>53818.64</v>
      </c>
      <c r="E196" s="360">
        <f t="shared" si="85"/>
        <v>36025.784999999996</v>
      </c>
      <c r="F196" s="308">
        <f t="shared" si="85"/>
        <v>-17792.855</v>
      </c>
      <c r="G196" s="360">
        <f t="shared" si="85"/>
        <v>21800</v>
      </c>
      <c r="H196" s="360">
        <f t="shared" si="85"/>
        <v>10007.145</v>
      </c>
      <c r="I196" s="308">
        <f t="shared" si="85"/>
        <v>-11792.855</v>
      </c>
      <c r="J196" s="379" t="s">
        <v>195</v>
      </c>
      <c r="K196" s="379" t="s">
        <v>195</v>
      </c>
      <c r="L196" s="203" t="s">
        <v>153</v>
      </c>
      <c r="M196" s="360">
        <f>SUM(M197:M198)</f>
        <v>5550</v>
      </c>
      <c r="N196" s="360">
        <f>SUM(N197:N198)</f>
        <v>0</v>
      </c>
      <c r="O196" s="308">
        <f>SUM(O197:O198)</f>
        <v>-5550</v>
      </c>
      <c r="P196" s="379" t="s">
        <v>196</v>
      </c>
      <c r="Q196" s="379" t="s">
        <v>235</v>
      </c>
      <c r="R196" s="203" t="s">
        <v>236</v>
      </c>
      <c r="S196" s="360">
        <f>SUM(S197:S198)</f>
        <v>5450</v>
      </c>
      <c r="T196" s="360">
        <f>SUM(T197:T198)</f>
        <v>5000</v>
      </c>
      <c r="U196" s="308">
        <f>SUM(U197:U198)</f>
        <v>-450</v>
      </c>
      <c r="V196" s="379" t="s">
        <v>197</v>
      </c>
      <c r="W196" s="379" t="s">
        <v>237</v>
      </c>
      <c r="X196" s="203" t="s">
        <v>238</v>
      </c>
    </row>
    <row r="197" spans="1:24" s="8" customFormat="1" ht="15" customHeight="1">
      <c r="A197" s="103" t="s">
        <v>454</v>
      </c>
      <c r="B197" s="10" t="s">
        <v>289</v>
      </c>
      <c r="C197" s="176"/>
      <c r="D197" s="395">
        <f>D199+D215-D198</f>
        <v>51794.84</v>
      </c>
      <c r="E197" s="395">
        <f>E199+E215-E198</f>
        <v>34001.98499999999</v>
      </c>
      <c r="F197" s="315">
        <f>F200+F215</f>
        <v>-17792.855</v>
      </c>
      <c r="G197" s="395">
        <f>G199+G215-G198</f>
        <v>21800</v>
      </c>
      <c r="H197" s="395">
        <f>H199+H215-H198</f>
        <v>10007.145</v>
      </c>
      <c r="I197" s="315">
        <f>I200+I215</f>
        <v>-11792.855</v>
      </c>
      <c r="J197" s="396"/>
      <c r="K197" s="396"/>
      <c r="L197" s="95"/>
      <c r="M197" s="395">
        <f>M199+M215-M198</f>
        <v>5550</v>
      </c>
      <c r="N197" s="395">
        <f>N199+N215-N198</f>
        <v>0</v>
      </c>
      <c r="O197" s="315">
        <f>O200+O215</f>
        <v>-5550</v>
      </c>
      <c r="P197" s="396"/>
      <c r="Q197" s="396"/>
      <c r="R197" s="95"/>
      <c r="S197" s="395">
        <f>S199+S215-S198</f>
        <v>5450</v>
      </c>
      <c r="T197" s="395">
        <f>T199+T215-T198</f>
        <v>5000</v>
      </c>
      <c r="U197" s="315">
        <f>U200+U215</f>
        <v>-450</v>
      </c>
      <c r="V197" s="262"/>
      <c r="W197" s="260"/>
      <c r="X197" s="95"/>
    </row>
    <row r="198" spans="1:24" s="8" customFormat="1" ht="15" customHeight="1">
      <c r="A198" s="103" t="s">
        <v>455</v>
      </c>
      <c r="B198" s="10" t="s">
        <v>291</v>
      </c>
      <c r="C198" s="176"/>
      <c r="D198" s="401">
        <v>2023.8</v>
      </c>
      <c r="E198" s="401">
        <v>2023.8</v>
      </c>
      <c r="F198" s="316"/>
      <c r="G198" s="401"/>
      <c r="H198" s="401"/>
      <c r="I198" s="316"/>
      <c r="J198" s="402"/>
      <c r="K198" s="402"/>
      <c r="L198" s="117"/>
      <c r="M198" s="401"/>
      <c r="N198" s="401"/>
      <c r="O198" s="316"/>
      <c r="P198" s="402"/>
      <c r="Q198" s="402"/>
      <c r="R198" s="117"/>
      <c r="S198" s="401"/>
      <c r="T198" s="401"/>
      <c r="U198" s="316"/>
      <c r="V198" s="265"/>
      <c r="W198" s="279"/>
      <c r="X198" s="117"/>
    </row>
    <row r="199" spans="1:24" s="39" customFormat="1" ht="15" customHeight="1">
      <c r="A199" s="100"/>
      <c r="B199" s="94" t="s">
        <v>387</v>
      </c>
      <c r="C199" s="176"/>
      <c r="D199" s="392">
        <f aca="true" t="shared" si="86" ref="D199:I199">SUM(D201:D214)</f>
        <v>49804.44</v>
      </c>
      <c r="E199" s="392">
        <f t="shared" si="86"/>
        <v>32611.585</v>
      </c>
      <c r="F199" s="204">
        <f t="shared" si="86"/>
        <v>-17192.855</v>
      </c>
      <c r="G199" s="392">
        <f t="shared" si="86"/>
        <v>21800</v>
      </c>
      <c r="H199" s="392">
        <f t="shared" si="86"/>
        <v>9607.145</v>
      </c>
      <c r="I199" s="204">
        <f t="shared" si="86"/>
        <v>-12192.855</v>
      </c>
      <c r="J199" s="393"/>
      <c r="K199" s="393"/>
      <c r="L199" s="114"/>
      <c r="M199" s="392">
        <f>SUM(M201:M214)</f>
        <v>5000</v>
      </c>
      <c r="N199" s="392">
        <f>SUM(N201:N214)</f>
        <v>0</v>
      </c>
      <c r="O199" s="204">
        <f>SUM(O201:O214)</f>
        <v>-5000</v>
      </c>
      <c r="P199" s="393"/>
      <c r="Q199" s="393"/>
      <c r="R199" s="114"/>
      <c r="S199" s="392">
        <f>SUM(S201:S214)</f>
        <v>5000</v>
      </c>
      <c r="T199" s="392">
        <f>SUM(T201:T214)</f>
        <v>5000</v>
      </c>
      <c r="U199" s="204">
        <f>SUM(U201:U214)</f>
        <v>0</v>
      </c>
      <c r="V199" s="269"/>
      <c r="W199" s="259"/>
      <c r="X199" s="114"/>
    </row>
    <row r="200" spans="1:24" s="13" customFormat="1" ht="20.25" customHeight="1">
      <c r="A200" s="100"/>
      <c r="B200" s="12" t="s">
        <v>388</v>
      </c>
      <c r="C200" s="180"/>
      <c r="D200" s="385">
        <v>27076.987</v>
      </c>
      <c r="E200" s="385">
        <v>30587.785</v>
      </c>
      <c r="F200" s="323">
        <f>F199</f>
        <v>-17192.855</v>
      </c>
      <c r="G200" s="385">
        <f>G199</f>
        <v>21800</v>
      </c>
      <c r="H200" s="369">
        <f>H199</f>
        <v>9607.145</v>
      </c>
      <c r="I200" s="323">
        <f>I199</f>
        <v>-12192.855</v>
      </c>
      <c r="J200" s="400"/>
      <c r="K200" s="400"/>
      <c r="L200" s="154"/>
      <c r="M200" s="385">
        <f>M199</f>
        <v>5000</v>
      </c>
      <c r="N200" s="369">
        <f>N199</f>
        <v>0</v>
      </c>
      <c r="O200" s="323">
        <f>O199</f>
        <v>-5000</v>
      </c>
      <c r="P200" s="400"/>
      <c r="Q200" s="400"/>
      <c r="R200" s="154"/>
      <c r="S200" s="385">
        <f>S199</f>
        <v>5000</v>
      </c>
      <c r="T200" s="369">
        <f>T199</f>
        <v>5000</v>
      </c>
      <c r="U200" s="323">
        <f>U199</f>
        <v>0</v>
      </c>
      <c r="V200" s="274"/>
      <c r="W200" s="287"/>
      <c r="X200" s="154"/>
    </row>
    <row r="201" spans="1:24" s="13" customFormat="1" ht="15" customHeight="1">
      <c r="A201" s="103" t="s">
        <v>456</v>
      </c>
      <c r="B201" s="28" t="s">
        <v>43</v>
      </c>
      <c r="C201" s="176"/>
      <c r="D201" s="373">
        <f>2785.291+2877.653</f>
        <v>5662.9439999999995</v>
      </c>
      <c r="E201" s="373">
        <f>2785.291+2877.653</f>
        <v>5662.9439999999995</v>
      </c>
      <c r="F201" s="324">
        <f>E201-D201</f>
        <v>0</v>
      </c>
      <c r="G201" s="385"/>
      <c r="H201" s="369"/>
      <c r="I201" s="324">
        <f>H201-G201</f>
        <v>0</v>
      </c>
      <c r="J201" s="400"/>
      <c r="K201" s="400"/>
      <c r="L201" s="155"/>
      <c r="M201" s="385"/>
      <c r="N201" s="369"/>
      <c r="O201" s="324">
        <f>N201-M201</f>
        <v>0</v>
      </c>
      <c r="P201" s="400"/>
      <c r="Q201" s="400"/>
      <c r="R201" s="155"/>
      <c r="S201" s="385"/>
      <c r="T201" s="369"/>
      <c r="U201" s="324">
        <f>T201-S201</f>
        <v>0</v>
      </c>
      <c r="V201" s="274"/>
      <c r="W201" s="287"/>
      <c r="X201" s="116"/>
    </row>
    <row r="202" spans="1:24" s="13" customFormat="1" ht="15" customHeight="1">
      <c r="A202" s="103" t="s">
        <v>457</v>
      </c>
      <c r="B202" s="28" t="s">
        <v>377</v>
      </c>
      <c r="C202" s="176"/>
      <c r="D202" s="373">
        <v>1998.382</v>
      </c>
      <c r="E202" s="373">
        <v>1998.382</v>
      </c>
      <c r="F202" s="324">
        <f aca="true" t="shared" si="87" ref="F202:F224">E202-D202</f>
        <v>0</v>
      </c>
      <c r="G202" s="385"/>
      <c r="H202" s="369"/>
      <c r="I202" s="324">
        <f aca="true" t="shared" si="88" ref="I202:I224">H202-G202</f>
        <v>0</v>
      </c>
      <c r="J202" s="400"/>
      <c r="K202" s="400"/>
      <c r="L202" s="155"/>
      <c r="M202" s="385"/>
      <c r="N202" s="369"/>
      <c r="O202" s="324">
        <f aca="true" t="shared" si="89" ref="O202:O214">N202-M202</f>
        <v>0</v>
      </c>
      <c r="P202" s="400"/>
      <c r="Q202" s="400"/>
      <c r="R202" s="155"/>
      <c r="S202" s="385"/>
      <c r="T202" s="369"/>
      <c r="U202" s="324">
        <f aca="true" t="shared" si="90" ref="U202:U214">T202-S202</f>
        <v>0</v>
      </c>
      <c r="V202" s="274"/>
      <c r="W202" s="287"/>
      <c r="X202" s="116"/>
    </row>
    <row r="203" spans="1:24" s="8" customFormat="1" ht="15.75">
      <c r="A203" s="103" t="s">
        <v>458</v>
      </c>
      <c r="B203" s="32" t="s">
        <v>313</v>
      </c>
      <c r="C203" s="176"/>
      <c r="D203" s="373">
        <v>739</v>
      </c>
      <c r="E203" s="373">
        <v>739</v>
      </c>
      <c r="F203" s="324">
        <f t="shared" si="87"/>
        <v>0</v>
      </c>
      <c r="G203" s="373"/>
      <c r="H203" s="371"/>
      <c r="I203" s="324">
        <f t="shared" si="88"/>
        <v>0</v>
      </c>
      <c r="J203" s="374"/>
      <c r="K203" s="374"/>
      <c r="L203" s="155"/>
      <c r="M203" s="302"/>
      <c r="N203" s="298"/>
      <c r="O203" s="304">
        <f t="shared" si="89"/>
        <v>0</v>
      </c>
      <c r="P203" s="265"/>
      <c r="Q203" s="279"/>
      <c r="R203" s="116"/>
      <c r="S203" s="302"/>
      <c r="T203" s="298"/>
      <c r="U203" s="304">
        <f t="shared" si="90"/>
        <v>0</v>
      </c>
      <c r="V203" s="265"/>
      <c r="W203" s="279"/>
      <c r="X203" s="116"/>
    </row>
    <row r="204" spans="1:24" s="8" customFormat="1" ht="15.75">
      <c r="A204" s="103" t="s">
        <v>459</v>
      </c>
      <c r="B204" s="32" t="s">
        <v>314</v>
      </c>
      <c r="C204" s="176"/>
      <c r="D204" s="373">
        <v>12531.314</v>
      </c>
      <c r="E204" s="373">
        <v>5031.314</v>
      </c>
      <c r="F204" s="324">
        <f t="shared" si="87"/>
        <v>-7500</v>
      </c>
      <c r="G204" s="373">
        <v>10000</v>
      </c>
      <c r="H204" s="371">
        <v>2500</v>
      </c>
      <c r="I204" s="324">
        <f t="shared" si="88"/>
        <v>-7500</v>
      </c>
      <c r="J204" s="374"/>
      <c r="K204" s="374"/>
      <c r="L204" s="155"/>
      <c r="M204" s="302"/>
      <c r="N204" s="298"/>
      <c r="O204" s="304">
        <f t="shared" si="89"/>
        <v>0</v>
      </c>
      <c r="P204" s="265"/>
      <c r="Q204" s="279"/>
      <c r="R204" s="116"/>
      <c r="S204" s="302"/>
      <c r="T204" s="298"/>
      <c r="U204" s="304">
        <f t="shared" si="90"/>
        <v>0</v>
      </c>
      <c r="V204" s="265"/>
      <c r="W204" s="279"/>
      <c r="X204" s="116"/>
    </row>
    <row r="205" spans="1:24" s="8" customFormat="1" ht="15.75">
      <c r="A205" s="103" t="s">
        <v>460</v>
      </c>
      <c r="B205" s="32" t="s">
        <v>306</v>
      </c>
      <c r="C205" s="176"/>
      <c r="D205" s="371">
        <v>909</v>
      </c>
      <c r="E205" s="371">
        <v>909</v>
      </c>
      <c r="F205" s="324">
        <f t="shared" si="87"/>
        <v>0</v>
      </c>
      <c r="G205" s="371"/>
      <c r="H205" s="371"/>
      <c r="I205" s="324">
        <f t="shared" si="88"/>
        <v>0</v>
      </c>
      <c r="J205" s="374"/>
      <c r="K205" s="374"/>
      <c r="L205" s="155"/>
      <c r="M205" s="297"/>
      <c r="N205" s="298"/>
      <c r="O205" s="304">
        <f t="shared" si="89"/>
        <v>0</v>
      </c>
      <c r="P205" s="265"/>
      <c r="Q205" s="279"/>
      <c r="R205" s="116"/>
      <c r="S205" s="297"/>
      <c r="T205" s="298"/>
      <c r="U205" s="304">
        <f t="shared" si="90"/>
        <v>0</v>
      </c>
      <c r="V205" s="265"/>
      <c r="W205" s="279"/>
      <c r="X205" s="116"/>
    </row>
    <row r="206" spans="1:24" s="8" customFormat="1" ht="31.5">
      <c r="A206" s="103" t="s">
        <v>461</v>
      </c>
      <c r="B206" s="32" t="s">
        <v>675</v>
      </c>
      <c r="C206" s="176"/>
      <c r="D206" s="371">
        <v>3387.8</v>
      </c>
      <c r="E206" s="371">
        <v>3387.8</v>
      </c>
      <c r="F206" s="324">
        <f t="shared" si="87"/>
        <v>0</v>
      </c>
      <c r="G206" s="371"/>
      <c r="H206" s="371"/>
      <c r="I206" s="324">
        <f t="shared" si="88"/>
        <v>0</v>
      </c>
      <c r="J206" s="374"/>
      <c r="K206" s="374"/>
      <c r="L206" s="155"/>
      <c r="M206" s="297"/>
      <c r="N206" s="298"/>
      <c r="O206" s="304">
        <f t="shared" si="89"/>
        <v>0</v>
      </c>
      <c r="P206" s="265"/>
      <c r="Q206" s="279"/>
      <c r="R206" s="116"/>
      <c r="S206" s="297"/>
      <c r="T206" s="298"/>
      <c r="U206" s="304">
        <f t="shared" si="90"/>
        <v>0</v>
      </c>
      <c r="V206" s="265"/>
      <c r="W206" s="279"/>
      <c r="X206" s="116"/>
    </row>
    <row r="207" spans="1:24" s="8" customFormat="1" ht="15" customHeight="1">
      <c r="A207" s="103" t="s">
        <v>462</v>
      </c>
      <c r="B207" s="32" t="s">
        <v>378</v>
      </c>
      <c r="C207" s="176"/>
      <c r="D207" s="371">
        <v>5000</v>
      </c>
      <c r="E207" s="371">
        <v>2100</v>
      </c>
      <c r="F207" s="324">
        <f t="shared" si="87"/>
        <v>-2900</v>
      </c>
      <c r="G207" s="371">
        <v>5000</v>
      </c>
      <c r="H207" s="371">
        <v>2100</v>
      </c>
      <c r="I207" s="324">
        <f t="shared" si="88"/>
        <v>-2900</v>
      </c>
      <c r="J207" s="374"/>
      <c r="K207" s="374"/>
      <c r="L207" s="155"/>
      <c r="M207" s="395"/>
      <c r="N207" s="395"/>
      <c r="O207" s="316">
        <f t="shared" si="89"/>
        <v>0</v>
      </c>
      <c r="P207" s="402"/>
      <c r="Q207" s="402"/>
      <c r="R207" s="117"/>
      <c r="S207" s="395"/>
      <c r="T207" s="395"/>
      <c r="U207" s="316">
        <f t="shared" si="90"/>
        <v>0</v>
      </c>
      <c r="V207" s="402"/>
      <c r="W207" s="402"/>
      <c r="X207" s="116"/>
    </row>
    <row r="208" spans="1:24" s="8" customFormat="1" ht="15" customHeight="1">
      <c r="A208" s="103" t="s">
        <v>463</v>
      </c>
      <c r="B208" s="32" t="s">
        <v>44</v>
      </c>
      <c r="C208" s="176"/>
      <c r="D208" s="371">
        <f>1300+26</f>
        <v>1326</v>
      </c>
      <c r="E208" s="371">
        <v>1326</v>
      </c>
      <c r="F208" s="324">
        <f t="shared" si="87"/>
        <v>0</v>
      </c>
      <c r="G208" s="371"/>
      <c r="H208" s="371"/>
      <c r="I208" s="324">
        <f t="shared" si="88"/>
        <v>0</v>
      </c>
      <c r="J208" s="374"/>
      <c r="K208" s="374"/>
      <c r="L208" s="155"/>
      <c r="M208" s="395"/>
      <c r="N208" s="395"/>
      <c r="O208" s="316">
        <f t="shared" si="89"/>
        <v>0</v>
      </c>
      <c r="P208" s="402"/>
      <c r="Q208" s="402"/>
      <c r="R208" s="117"/>
      <c r="S208" s="395"/>
      <c r="T208" s="395"/>
      <c r="U208" s="316">
        <f t="shared" si="90"/>
        <v>0</v>
      </c>
      <c r="V208" s="402"/>
      <c r="W208" s="402"/>
      <c r="X208" s="116"/>
    </row>
    <row r="209" spans="1:24" s="8" customFormat="1" ht="15" customHeight="1">
      <c r="A209" s="103" t="s">
        <v>464</v>
      </c>
      <c r="B209" s="10" t="s">
        <v>664</v>
      </c>
      <c r="C209" s="176"/>
      <c r="D209" s="371">
        <v>800</v>
      </c>
      <c r="E209" s="371">
        <v>800</v>
      </c>
      <c r="F209" s="324">
        <f t="shared" si="87"/>
        <v>0</v>
      </c>
      <c r="G209" s="371"/>
      <c r="H209" s="371"/>
      <c r="I209" s="324">
        <f t="shared" si="88"/>
        <v>0</v>
      </c>
      <c r="J209" s="374"/>
      <c r="K209" s="374"/>
      <c r="L209" s="155"/>
      <c r="M209" s="395"/>
      <c r="N209" s="395"/>
      <c r="O209" s="316">
        <f t="shared" si="89"/>
        <v>0</v>
      </c>
      <c r="P209" s="402"/>
      <c r="Q209" s="402"/>
      <c r="R209" s="117"/>
      <c r="S209" s="395"/>
      <c r="T209" s="395"/>
      <c r="U209" s="316">
        <f t="shared" si="90"/>
        <v>0</v>
      </c>
      <c r="V209" s="402"/>
      <c r="W209" s="402"/>
      <c r="X209" s="116"/>
    </row>
    <row r="210" spans="1:24" s="8" customFormat="1" ht="15" customHeight="1">
      <c r="A210" s="103" t="s">
        <v>465</v>
      </c>
      <c r="B210" s="10" t="s">
        <v>160</v>
      </c>
      <c r="C210" s="176"/>
      <c r="D210" s="371">
        <v>4000</v>
      </c>
      <c r="E210" s="371">
        <v>5000</v>
      </c>
      <c r="F210" s="324">
        <f t="shared" si="87"/>
        <v>1000</v>
      </c>
      <c r="G210" s="371">
        <v>2000</v>
      </c>
      <c r="H210" s="371"/>
      <c r="I210" s="324">
        <f t="shared" si="88"/>
        <v>-2000</v>
      </c>
      <c r="J210" s="374"/>
      <c r="K210" s="374"/>
      <c r="L210" s="155"/>
      <c r="M210" s="395">
        <v>2000</v>
      </c>
      <c r="N210" s="395"/>
      <c r="O210" s="316">
        <f t="shared" si="89"/>
        <v>-2000</v>
      </c>
      <c r="P210" s="402"/>
      <c r="Q210" s="402"/>
      <c r="R210" s="117"/>
      <c r="S210" s="395">
        <v>5000</v>
      </c>
      <c r="T210" s="395">
        <v>5000</v>
      </c>
      <c r="U210" s="316">
        <f t="shared" si="90"/>
        <v>0</v>
      </c>
      <c r="V210" s="402"/>
      <c r="W210" s="402"/>
      <c r="X210" s="116"/>
    </row>
    <row r="211" spans="1:24" s="8" customFormat="1" ht="15" customHeight="1">
      <c r="A211" s="103" t="s">
        <v>466</v>
      </c>
      <c r="B211" s="10" t="s">
        <v>349</v>
      </c>
      <c r="C211" s="176"/>
      <c r="D211" s="371">
        <v>3000</v>
      </c>
      <c r="E211" s="371"/>
      <c r="F211" s="324">
        <f t="shared" si="87"/>
        <v>-3000</v>
      </c>
      <c r="G211" s="371">
        <v>2000</v>
      </c>
      <c r="H211" s="371"/>
      <c r="I211" s="324">
        <f t="shared" si="88"/>
        <v>-2000</v>
      </c>
      <c r="J211" s="374"/>
      <c r="K211" s="374"/>
      <c r="L211" s="155"/>
      <c r="M211" s="395">
        <v>1000</v>
      </c>
      <c r="N211" s="395"/>
      <c r="O211" s="316">
        <f t="shared" si="89"/>
        <v>-1000</v>
      </c>
      <c r="P211" s="402"/>
      <c r="Q211" s="402"/>
      <c r="R211" s="117"/>
      <c r="S211" s="395"/>
      <c r="T211" s="395"/>
      <c r="U211" s="316">
        <f t="shared" si="90"/>
        <v>0</v>
      </c>
      <c r="V211" s="402"/>
      <c r="W211" s="402"/>
      <c r="X211" s="116"/>
    </row>
    <row r="212" spans="1:24" s="8" customFormat="1" ht="15" customHeight="1">
      <c r="A212" s="103" t="s">
        <v>467</v>
      </c>
      <c r="B212" s="10" t="s">
        <v>161</v>
      </c>
      <c r="C212" s="176"/>
      <c r="D212" s="371">
        <v>5000</v>
      </c>
      <c r="E212" s="371">
        <v>2007.145</v>
      </c>
      <c r="F212" s="324">
        <f t="shared" si="87"/>
        <v>-2992.855</v>
      </c>
      <c r="G212" s="371"/>
      <c r="H212" s="371">
        <v>2007.145</v>
      </c>
      <c r="I212" s="324">
        <f t="shared" si="88"/>
        <v>2007.145</v>
      </c>
      <c r="J212" s="374"/>
      <c r="K212" s="374"/>
      <c r="L212" s="155"/>
      <c r="M212" s="395"/>
      <c r="N212" s="395"/>
      <c r="O212" s="316">
        <f t="shared" si="89"/>
        <v>0</v>
      </c>
      <c r="P212" s="402"/>
      <c r="Q212" s="402"/>
      <c r="R212" s="117"/>
      <c r="S212" s="395"/>
      <c r="T212" s="395"/>
      <c r="U212" s="316">
        <f t="shared" si="90"/>
        <v>0</v>
      </c>
      <c r="V212" s="402"/>
      <c r="W212" s="402"/>
      <c r="X212" s="116"/>
    </row>
    <row r="213" spans="1:24" s="8" customFormat="1" ht="15" customHeight="1">
      <c r="A213" s="103" t="s">
        <v>468</v>
      </c>
      <c r="B213" s="10" t="s">
        <v>88</v>
      </c>
      <c r="C213" s="176"/>
      <c r="D213" s="371">
        <v>4800</v>
      </c>
      <c r="E213" s="371">
        <v>3000</v>
      </c>
      <c r="F213" s="324">
        <f t="shared" si="87"/>
        <v>-1800</v>
      </c>
      <c r="G213" s="371">
        <v>2800</v>
      </c>
      <c r="H213" s="371">
        <v>3000</v>
      </c>
      <c r="I213" s="324">
        <f t="shared" si="88"/>
        <v>200</v>
      </c>
      <c r="J213" s="374"/>
      <c r="K213" s="374"/>
      <c r="L213" s="155"/>
      <c r="M213" s="395">
        <v>2000</v>
      </c>
      <c r="N213" s="395"/>
      <c r="O213" s="316">
        <f t="shared" si="89"/>
        <v>-2000</v>
      </c>
      <c r="P213" s="402"/>
      <c r="Q213" s="402"/>
      <c r="R213" s="117"/>
      <c r="S213" s="395"/>
      <c r="T213" s="395"/>
      <c r="U213" s="316">
        <f t="shared" si="90"/>
        <v>0</v>
      </c>
      <c r="V213" s="402"/>
      <c r="W213" s="402"/>
      <c r="X213" s="116"/>
    </row>
    <row r="214" spans="1:24" s="8" customFormat="1" ht="15" customHeight="1">
      <c r="A214" s="103" t="s">
        <v>469</v>
      </c>
      <c r="B214" s="10" t="s">
        <v>299</v>
      </c>
      <c r="C214" s="176"/>
      <c r="D214" s="371">
        <v>650</v>
      </c>
      <c r="E214" s="371">
        <v>650</v>
      </c>
      <c r="F214" s="324">
        <f t="shared" si="87"/>
        <v>0</v>
      </c>
      <c r="G214" s="371"/>
      <c r="H214" s="371"/>
      <c r="I214" s="324">
        <f t="shared" si="88"/>
        <v>0</v>
      </c>
      <c r="J214" s="374"/>
      <c r="K214" s="374"/>
      <c r="L214" s="155"/>
      <c r="M214" s="395"/>
      <c r="N214" s="395"/>
      <c r="O214" s="316">
        <f t="shared" si="89"/>
        <v>0</v>
      </c>
      <c r="P214" s="402"/>
      <c r="Q214" s="402"/>
      <c r="R214" s="117"/>
      <c r="S214" s="395"/>
      <c r="T214" s="395"/>
      <c r="U214" s="316">
        <f t="shared" si="90"/>
        <v>0</v>
      </c>
      <c r="V214" s="402"/>
      <c r="W214" s="402"/>
      <c r="X214" s="116"/>
    </row>
    <row r="215" spans="1:24" s="7" customFormat="1" ht="48" customHeight="1">
      <c r="A215" s="103"/>
      <c r="B215" s="93" t="s">
        <v>386</v>
      </c>
      <c r="C215" s="176"/>
      <c r="D215" s="392">
        <f aca="true" t="shared" si="91" ref="D215:I215">SUM(D216:D224)</f>
        <v>4014.2</v>
      </c>
      <c r="E215" s="392">
        <f t="shared" si="91"/>
        <v>3414.2</v>
      </c>
      <c r="F215" s="204">
        <f t="shared" si="91"/>
        <v>-600</v>
      </c>
      <c r="G215" s="392">
        <f t="shared" si="91"/>
        <v>0</v>
      </c>
      <c r="H215" s="392">
        <f t="shared" si="91"/>
        <v>400</v>
      </c>
      <c r="I215" s="204">
        <f t="shared" si="91"/>
        <v>400</v>
      </c>
      <c r="J215" s="361"/>
      <c r="K215" s="361"/>
      <c r="L215" s="114"/>
      <c r="M215" s="392">
        <f>SUM(M216:M224)</f>
        <v>550</v>
      </c>
      <c r="N215" s="392">
        <f>SUM(N216:N224)</f>
        <v>0</v>
      </c>
      <c r="O215" s="204">
        <f>SUM(O216:O224)</f>
        <v>-550</v>
      </c>
      <c r="P215" s="361"/>
      <c r="Q215" s="361"/>
      <c r="R215" s="114"/>
      <c r="S215" s="392">
        <f>SUM(S216:S224)</f>
        <v>450</v>
      </c>
      <c r="T215" s="392">
        <f>SUM(T216:T224)</f>
        <v>0</v>
      </c>
      <c r="U215" s="204">
        <f>SUM(U216:U224)</f>
        <v>-450</v>
      </c>
      <c r="V215" s="361"/>
      <c r="W215" s="361"/>
      <c r="X215" s="114"/>
    </row>
    <row r="216" spans="1:24" s="8" customFormat="1" ht="15" customHeight="1">
      <c r="A216" s="99" t="s">
        <v>470</v>
      </c>
      <c r="B216" s="11" t="s">
        <v>379</v>
      </c>
      <c r="C216" s="176"/>
      <c r="D216" s="352">
        <v>800</v>
      </c>
      <c r="E216" s="352">
        <v>800</v>
      </c>
      <c r="F216" s="304">
        <f t="shared" si="87"/>
        <v>0</v>
      </c>
      <c r="G216" s="352"/>
      <c r="H216" s="352"/>
      <c r="I216" s="304">
        <f t="shared" si="88"/>
        <v>0</v>
      </c>
      <c r="J216" s="359"/>
      <c r="K216" s="359"/>
      <c r="L216" s="116"/>
      <c r="M216" s="352"/>
      <c r="N216" s="352"/>
      <c r="O216" s="304">
        <f aca="true" t="shared" si="92" ref="O216:O224">N216-M216</f>
        <v>0</v>
      </c>
      <c r="P216" s="359"/>
      <c r="Q216" s="359"/>
      <c r="R216" s="116"/>
      <c r="S216" s="352"/>
      <c r="T216" s="352"/>
      <c r="U216" s="304">
        <f aca="true" t="shared" si="93" ref="U216:U224">T216-S216</f>
        <v>0</v>
      </c>
      <c r="V216" s="359"/>
      <c r="W216" s="359"/>
      <c r="X216" s="116"/>
    </row>
    <row r="217" spans="1:24" s="8" customFormat="1" ht="15" customHeight="1">
      <c r="A217" s="99" t="s">
        <v>471</v>
      </c>
      <c r="B217" s="11" t="s">
        <v>380</v>
      </c>
      <c r="C217" s="176"/>
      <c r="D217" s="352">
        <f>850-26</f>
        <v>824</v>
      </c>
      <c r="E217" s="352">
        <v>374</v>
      </c>
      <c r="F217" s="304">
        <f t="shared" si="87"/>
        <v>-450</v>
      </c>
      <c r="G217" s="352"/>
      <c r="H217" s="352"/>
      <c r="I217" s="304">
        <f t="shared" si="88"/>
        <v>0</v>
      </c>
      <c r="J217" s="359"/>
      <c r="K217" s="359"/>
      <c r="L217" s="116"/>
      <c r="M217" s="352"/>
      <c r="N217" s="352"/>
      <c r="O217" s="304">
        <f t="shared" si="92"/>
        <v>0</v>
      </c>
      <c r="P217" s="359"/>
      <c r="Q217" s="359"/>
      <c r="R217" s="116"/>
      <c r="S217" s="352">
        <v>450</v>
      </c>
      <c r="T217" s="352"/>
      <c r="U217" s="304">
        <f t="shared" si="93"/>
        <v>-450</v>
      </c>
      <c r="V217" s="359"/>
      <c r="W217" s="359"/>
      <c r="X217" s="116"/>
    </row>
    <row r="218" spans="1:24" s="8" customFormat="1" ht="15" customHeight="1">
      <c r="A218" s="99" t="s">
        <v>472</v>
      </c>
      <c r="B218" s="11" t="s">
        <v>310</v>
      </c>
      <c r="C218" s="176"/>
      <c r="D218" s="352">
        <v>785</v>
      </c>
      <c r="E218" s="352">
        <v>785</v>
      </c>
      <c r="F218" s="304">
        <f t="shared" si="87"/>
        <v>0</v>
      </c>
      <c r="G218" s="352"/>
      <c r="H218" s="352"/>
      <c r="I218" s="304">
        <f t="shared" si="88"/>
        <v>0</v>
      </c>
      <c r="J218" s="359"/>
      <c r="K218" s="359"/>
      <c r="L218" s="116"/>
      <c r="M218" s="352"/>
      <c r="N218" s="352"/>
      <c r="O218" s="304">
        <f t="shared" si="92"/>
        <v>0</v>
      </c>
      <c r="P218" s="359"/>
      <c r="Q218" s="359"/>
      <c r="R218" s="116"/>
      <c r="S218" s="352"/>
      <c r="T218" s="352"/>
      <c r="U218" s="304">
        <f t="shared" si="93"/>
        <v>0</v>
      </c>
      <c r="V218" s="359"/>
      <c r="W218" s="359"/>
      <c r="X218" s="116"/>
    </row>
    <row r="219" spans="1:24" s="8" customFormat="1" ht="15" customHeight="1">
      <c r="A219" s="99" t="s">
        <v>473</v>
      </c>
      <c r="B219" s="11" t="s">
        <v>381</v>
      </c>
      <c r="C219" s="176"/>
      <c r="D219" s="352"/>
      <c r="E219" s="352">
        <v>400</v>
      </c>
      <c r="F219" s="304">
        <f t="shared" si="87"/>
        <v>400</v>
      </c>
      <c r="G219" s="352"/>
      <c r="H219" s="352">
        <v>400</v>
      </c>
      <c r="I219" s="304">
        <f t="shared" si="88"/>
        <v>400</v>
      </c>
      <c r="J219" s="359"/>
      <c r="K219" s="359"/>
      <c r="L219" s="116"/>
      <c r="M219" s="352"/>
      <c r="N219" s="352"/>
      <c r="O219" s="304">
        <f t="shared" si="92"/>
        <v>0</v>
      </c>
      <c r="P219" s="359"/>
      <c r="Q219" s="359"/>
      <c r="R219" s="116"/>
      <c r="S219" s="352"/>
      <c r="T219" s="352"/>
      <c r="U219" s="304">
        <f t="shared" si="93"/>
        <v>0</v>
      </c>
      <c r="V219" s="359"/>
      <c r="W219" s="359"/>
      <c r="X219" s="116"/>
    </row>
    <row r="220" spans="1:24" s="8" customFormat="1" ht="15" customHeight="1">
      <c r="A220" s="99" t="s">
        <v>474</v>
      </c>
      <c r="B220" s="90" t="s">
        <v>676</v>
      </c>
      <c r="C220" s="176"/>
      <c r="D220" s="352">
        <v>550</v>
      </c>
      <c r="E220" s="352"/>
      <c r="F220" s="304">
        <f t="shared" si="87"/>
        <v>-550</v>
      </c>
      <c r="G220" s="352"/>
      <c r="H220" s="352"/>
      <c r="I220" s="304">
        <f t="shared" si="88"/>
        <v>0</v>
      </c>
      <c r="J220" s="359"/>
      <c r="K220" s="359"/>
      <c r="L220" s="116"/>
      <c r="M220" s="352">
        <v>550</v>
      </c>
      <c r="N220" s="352"/>
      <c r="O220" s="304">
        <f t="shared" si="92"/>
        <v>-550</v>
      </c>
      <c r="P220" s="359"/>
      <c r="Q220" s="359"/>
      <c r="R220" s="116"/>
      <c r="S220" s="352"/>
      <c r="T220" s="352"/>
      <c r="U220" s="304">
        <f t="shared" si="93"/>
        <v>0</v>
      </c>
      <c r="V220" s="359"/>
      <c r="W220" s="359"/>
      <c r="X220" s="116"/>
    </row>
    <row r="221" spans="1:24" s="8" customFormat="1" ht="15" customHeight="1">
      <c r="A221" s="99" t="s">
        <v>475</v>
      </c>
      <c r="B221" s="11" t="s">
        <v>315</v>
      </c>
      <c r="C221" s="176"/>
      <c r="D221" s="352">
        <v>800</v>
      </c>
      <c r="E221" s="352">
        <v>800</v>
      </c>
      <c r="F221" s="304">
        <f t="shared" si="87"/>
        <v>0</v>
      </c>
      <c r="G221" s="352"/>
      <c r="H221" s="352"/>
      <c r="I221" s="304">
        <f t="shared" si="88"/>
        <v>0</v>
      </c>
      <c r="J221" s="359"/>
      <c r="K221" s="359"/>
      <c r="L221" s="116"/>
      <c r="M221" s="352"/>
      <c r="N221" s="352"/>
      <c r="O221" s="304">
        <f t="shared" si="92"/>
        <v>0</v>
      </c>
      <c r="P221" s="359"/>
      <c r="Q221" s="359"/>
      <c r="R221" s="116"/>
      <c r="S221" s="352"/>
      <c r="T221" s="352"/>
      <c r="U221" s="304">
        <f t="shared" si="93"/>
        <v>0</v>
      </c>
      <c r="V221" s="359"/>
      <c r="W221" s="359"/>
      <c r="X221" s="116"/>
    </row>
    <row r="222" spans="1:24" s="8" customFormat="1" ht="15" customHeight="1">
      <c r="A222" s="99" t="s">
        <v>476</v>
      </c>
      <c r="B222" s="11" t="s">
        <v>351</v>
      </c>
      <c r="C222" s="176"/>
      <c r="D222" s="352">
        <v>255.2</v>
      </c>
      <c r="E222" s="352">
        <v>255.2</v>
      </c>
      <c r="F222" s="304">
        <f t="shared" si="87"/>
        <v>0</v>
      </c>
      <c r="G222" s="352"/>
      <c r="H222" s="352"/>
      <c r="I222" s="304">
        <f t="shared" si="88"/>
        <v>0</v>
      </c>
      <c r="J222" s="359"/>
      <c r="K222" s="359"/>
      <c r="L222" s="116"/>
      <c r="M222" s="352"/>
      <c r="N222" s="352"/>
      <c r="O222" s="304">
        <f t="shared" si="92"/>
        <v>0</v>
      </c>
      <c r="P222" s="359"/>
      <c r="Q222" s="359"/>
      <c r="R222" s="116"/>
      <c r="S222" s="352"/>
      <c r="T222" s="352"/>
      <c r="U222" s="304">
        <f t="shared" si="93"/>
        <v>0</v>
      </c>
      <c r="V222" s="359"/>
      <c r="W222" s="359"/>
      <c r="X222" s="116"/>
    </row>
    <row r="223" spans="1:24" s="8" customFormat="1" ht="15" customHeight="1">
      <c r="A223" s="99" t="s">
        <v>477</v>
      </c>
      <c r="B223" s="11" t="s">
        <v>352</v>
      </c>
      <c r="C223" s="176"/>
      <c r="D223" s="352"/>
      <c r="E223" s="352"/>
      <c r="F223" s="304">
        <f t="shared" si="87"/>
        <v>0</v>
      </c>
      <c r="G223" s="352"/>
      <c r="H223" s="352"/>
      <c r="I223" s="304">
        <f t="shared" si="88"/>
        <v>0</v>
      </c>
      <c r="J223" s="359"/>
      <c r="K223" s="359"/>
      <c r="L223" s="116"/>
      <c r="M223" s="352"/>
      <c r="N223" s="352"/>
      <c r="O223" s="304">
        <f t="shared" si="92"/>
        <v>0</v>
      </c>
      <c r="P223" s="359"/>
      <c r="Q223" s="359"/>
      <c r="R223" s="116"/>
      <c r="S223" s="352"/>
      <c r="T223" s="352"/>
      <c r="U223" s="304">
        <f t="shared" si="93"/>
        <v>0</v>
      </c>
      <c r="V223" s="359"/>
      <c r="W223" s="359"/>
      <c r="X223" s="116"/>
    </row>
    <row r="224" spans="1:24" s="8" customFormat="1" ht="15" customHeight="1">
      <c r="A224" s="99" t="s">
        <v>478</v>
      </c>
      <c r="B224" s="11" t="s">
        <v>382</v>
      </c>
      <c r="C224" s="176"/>
      <c r="D224" s="352"/>
      <c r="E224" s="352"/>
      <c r="F224" s="304">
        <f t="shared" si="87"/>
        <v>0</v>
      </c>
      <c r="G224" s="352"/>
      <c r="H224" s="352"/>
      <c r="I224" s="304">
        <f t="shared" si="88"/>
        <v>0</v>
      </c>
      <c r="J224" s="359"/>
      <c r="K224" s="359"/>
      <c r="L224" s="116"/>
      <c r="M224" s="352"/>
      <c r="N224" s="352"/>
      <c r="O224" s="304">
        <f t="shared" si="92"/>
        <v>0</v>
      </c>
      <c r="P224" s="359"/>
      <c r="Q224" s="359"/>
      <c r="R224" s="116"/>
      <c r="S224" s="352"/>
      <c r="T224" s="352"/>
      <c r="U224" s="304">
        <f t="shared" si="93"/>
        <v>0</v>
      </c>
      <c r="V224" s="359"/>
      <c r="W224" s="359"/>
      <c r="X224" s="116"/>
    </row>
    <row r="225" spans="1:24" s="8" customFormat="1" ht="15" customHeight="1">
      <c r="A225" s="104"/>
      <c r="B225" s="5"/>
      <c r="C225" s="176"/>
      <c r="D225" s="302"/>
      <c r="E225" s="303"/>
      <c r="F225" s="324"/>
      <c r="G225" s="302"/>
      <c r="H225" s="298"/>
      <c r="I225" s="324"/>
      <c r="J225" s="265"/>
      <c r="K225" s="279"/>
      <c r="L225" s="155"/>
      <c r="M225" s="358"/>
      <c r="N225" s="352"/>
      <c r="O225" s="304"/>
      <c r="P225" s="359"/>
      <c r="Q225" s="359"/>
      <c r="R225" s="116"/>
      <c r="S225" s="358"/>
      <c r="T225" s="352"/>
      <c r="U225" s="304"/>
      <c r="V225" s="359"/>
      <c r="W225" s="359"/>
      <c r="X225" s="155"/>
    </row>
    <row r="226" spans="1:24" s="7" customFormat="1" ht="96.75" customHeight="1">
      <c r="A226" s="104" t="s">
        <v>479</v>
      </c>
      <c r="B226" s="42" t="s">
        <v>629</v>
      </c>
      <c r="C226" s="189" t="s">
        <v>71</v>
      </c>
      <c r="D226" s="360">
        <f aca="true" t="shared" si="94" ref="D226:I226">SUM(D227:D229)</f>
        <v>2694.4</v>
      </c>
      <c r="E226" s="360">
        <f t="shared" si="94"/>
        <v>2694.4</v>
      </c>
      <c r="F226" s="308">
        <f t="shared" si="94"/>
        <v>0</v>
      </c>
      <c r="G226" s="360">
        <f t="shared" si="94"/>
        <v>0</v>
      </c>
      <c r="H226" s="360">
        <f t="shared" si="94"/>
        <v>0</v>
      </c>
      <c r="I226" s="308">
        <f t="shared" si="94"/>
        <v>0</v>
      </c>
      <c r="J226" s="403"/>
      <c r="K226" s="403"/>
      <c r="L226" s="115"/>
      <c r="M226" s="360">
        <f>SUM(M227:M229)</f>
        <v>0</v>
      </c>
      <c r="N226" s="360">
        <f>SUM(N227:N229)</f>
        <v>0</v>
      </c>
      <c r="O226" s="308">
        <f>SUM(O227:O229)</f>
        <v>0</v>
      </c>
      <c r="P226" s="403"/>
      <c r="Q226" s="403"/>
      <c r="R226" s="115"/>
      <c r="S226" s="360">
        <f>SUM(S227:S229)</f>
        <v>0</v>
      </c>
      <c r="T226" s="360">
        <f>SUM(T227:T229)</f>
        <v>0</v>
      </c>
      <c r="U226" s="308">
        <f>SUM(U227:U229)</f>
        <v>0</v>
      </c>
      <c r="V226" s="403"/>
      <c r="W226" s="403"/>
      <c r="X226" s="115"/>
    </row>
    <row r="227" spans="1:24" s="8" customFormat="1" ht="15" customHeight="1">
      <c r="A227" s="104" t="s">
        <v>480</v>
      </c>
      <c r="B227" s="10" t="s">
        <v>289</v>
      </c>
      <c r="C227" s="176"/>
      <c r="D227" s="358">
        <v>700</v>
      </c>
      <c r="E227" s="358">
        <v>700</v>
      </c>
      <c r="F227" s="304">
        <f aca="true" t="shared" si="95" ref="F227:F232">E227-D227</f>
        <v>0</v>
      </c>
      <c r="G227" s="358"/>
      <c r="H227" s="358"/>
      <c r="I227" s="304">
        <f aca="true" t="shared" si="96" ref="I227:I232">H227-G227</f>
        <v>0</v>
      </c>
      <c r="J227" s="359"/>
      <c r="K227" s="359"/>
      <c r="L227" s="116"/>
      <c r="M227" s="302"/>
      <c r="N227" s="303"/>
      <c r="O227" s="304">
        <f>N227-M227</f>
        <v>0</v>
      </c>
      <c r="P227" s="265"/>
      <c r="Q227" s="279"/>
      <c r="R227" s="116"/>
      <c r="S227" s="302"/>
      <c r="T227" s="303"/>
      <c r="U227" s="304">
        <f>T227-S227</f>
        <v>0</v>
      </c>
      <c r="V227" s="265"/>
      <c r="W227" s="279"/>
      <c r="X227" s="116"/>
    </row>
    <row r="228" spans="1:24" s="8" customFormat="1" ht="15" customHeight="1">
      <c r="A228" s="104" t="s">
        <v>481</v>
      </c>
      <c r="B228" s="10" t="s">
        <v>290</v>
      </c>
      <c r="C228" s="176"/>
      <c r="D228" s="358">
        <v>1396</v>
      </c>
      <c r="E228" s="358">
        <v>1396</v>
      </c>
      <c r="F228" s="304">
        <f t="shared" si="95"/>
        <v>0</v>
      </c>
      <c r="G228" s="358"/>
      <c r="H228" s="358"/>
      <c r="I228" s="304">
        <f t="shared" si="96"/>
        <v>0</v>
      </c>
      <c r="J228" s="359"/>
      <c r="K228" s="359"/>
      <c r="L228" s="116"/>
      <c r="M228" s="302"/>
      <c r="N228" s="303"/>
      <c r="O228" s="304">
        <f>N228-M228</f>
        <v>0</v>
      </c>
      <c r="P228" s="265"/>
      <c r="Q228" s="279"/>
      <c r="R228" s="116"/>
      <c r="S228" s="302"/>
      <c r="T228" s="303"/>
      <c r="U228" s="304">
        <f>T228-S228</f>
        <v>0</v>
      </c>
      <c r="V228" s="265"/>
      <c r="W228" s="279"/>
      <c r="X228" s="116"/>
    </row>
    <row r="229" spans="1:24" s="8" customFormat="1" ht="15" customHeight="1">
      <c r="A229" s="104" t="s">
        <v>482</v>
      </c>
      <c r="B229" s="12" t="s">
        <v>291</v>
      </c>
      <c r="C229" s="176"/>
      <c r="D229" s="358">
        <v>598.4</v>
      </c>
      <c r="E229" s="358">
        <v>598.4</v>
      </c>
      <c r="F229" s="304">
        <f t="shared" si="95"/>
        <v>0</v>
      </c>
      <c r="G229" s="358"/>
      <c r="H229" s="358"/>
      <c r="I229" s="304">
        <f t="shared" si="96"/>
        <v>0</v>
      </c>
      <c r="J229" s="359"/>
      <c r="K229" s="359"/>
      <c r="L229" s="116"/>
      <c r="M229" s="302"/>
      <c r="N229" s="303"/>
      <c r="O229" s="304">
        <f>N229-M229</f>
        <v>0</v>
      </c>
      <c r="P229" s="265"/>
      <c r="Q229" s="279"/>
      <c r="R229" s="116"/>
      <c r="S229" s="302"/>
      <c r="T229" s="303"/>
      <c r="U229" s="304">
        <f>T229-S229</f>
        <v>0</v>
      </c>
      <c r="V229" s="265"/>
      <c r="W229" s="279"/>
      <c r="X229" s="116"/>
    </row>
    <row r="230" spans="1:24" s="13" customFormat="1" ht="15" customHeight="1">
      <c r="A230" s="100"/>
      <c r="B230" s="12" t="s">
        <v>301</v>
      </c>
      <c r="C230" s="180"/>
      <c r="D230" s="385"/>
      <c r="E230" s="385"/>
      <c r="F230" s="324"/>
      <c r="G230" s="385"/>
      <c r="H230" s="385"/>
      <c r="I230" s="324"/>
      <c r="J230" s="400"/>
      <c r="K230" s="400"/>
      <c r="L230" s="155"/>
      <c r="M230" s="321"/>
      <c r="N230" s="322"/>
      <c r="O230" s="304"/>
      <c r="P230" s="274"/>
      <c r="Q230" s="287"/>
      <c r="R230" s="116"/>
      <c r="S230" s="321"/>
      <c r="T230" s="322"/>
      <c r="U230" s="304"/>
      <c r="V230" s="274"/>
      <c r="W230" s="287"/>
      <c r="X230" s="116"/>
    </row>
    <row r="231" spans="1:24" s="8" customFormat="1" ht="15" customHeight="1">
      <c r="A231" s="103" t="s">
        <v>483</v>
      </c>
      <c r="B231" s="10" t="s">
        <v>315</v>
      </c>
      <c r="C231" s="176"/>
      <c r="D231" s="373">
        <v>1347.2</v>
      </c>
      <c r="E231" s="373">
        <v>1347.2</v>
      </c>
      <c r="F231" s="324">
        <f t="shared" si="95"/>
        <v>0</v>
      </c>
      <c r="G231" s="373"/>
      <c r="H231" s="373"/>
      <c r="I231" s="324">
        <f t="shared" si="96"/>
        <v>0</v>
      </c>
      <c r="J231" s="374"/>
      <c r="K231" s="374"/>
      <c r="L231" s="155"/>
      <c r="M231" s="302"/>
      <c r="N231" s="303"/>
      <c r="O231" s="304">
        <f>N231-M231</f>
        <v>0</v>
      </c>
      <c r="P231" s="265"/>
      <c r="Q231" s="279"/>
      <c r="R231" s="116"/>
      <c r="S231" s="302"/>
      <c r="T231" s="303"/>
      <c r="U231" s="304">
        <f>T231-S231</f>
        <v>0</v>
      </c>
      <c r="V231" s="265"/>
      <c r="W231" s="279"/>
      <c r="X231" s="116"/>
    </row>
    <row r="232" spans="1:24" s="8" customFormat="1" ht="15" customHeight="1">
      <c r="A232" s="103" t="s">
        <v>484</v>
      </c>
      <c r="B232" s="10" t="s">
        <v>352</v>
      </c>
      <c r="C232" s="176"/>
      <c r="D232" s="373">
        <v>1347.2</v>
      </c>
      <c r="E232" s="373">
        <v>1347.2</v>
      </c>
      <c r="F232" s="324">
        <f t="shared" si="95"/>
        <v>0</v>
      </c>
      <c r="G232" s="373"/>
      <c r="H232" s="373"/>
      <c r="I232" s="324">
        <f t="shared" si="96"/>
        <v>0</v>
      </c>
      <c r="J232" s="374"/>
      <c r="K232" s="374"/>
      <c r="L232" s="155"/>
      <c r="M232" s="302"/>
      <c r="N232" s="303"/>
      <c r="O232" s="304">
        <f>N232-M232</f>
        <v>0</v>
      </c>
      <c r="P232" s="265"/>
      <c r="Q232" s="279"/>
      <c r="R232" s="116"/>
      <c r="S232" s="302"/>
      <c r="T232" s="303"/>
      <c r="U232" s="304">
        <f>T232-S232</f>
        <v>0</v>
      </c>
      <c r="V232" s="265"/>
      <c r="W232" s="279"/>
      <c r="X232" s="116"/>
    </row>
    <row r="233" spans="1:24" s="8" customFormat="1" ht="15" customHeight="1">
      <c r="A233" s="103"/>
      <c r="B233" s="10"/>
      <c r="C233" s="176"/>
      <c r="D233" s="373"/>
      <c r="E233" s="373"/>
      <c r="F233" s="324"/>
      <c r="G233" s="373"/>
      <c r="H233" s="373"/>
      <c r="I233" s="324"/>
      <c r="J233" s="374"/>
      <c r="K233" s="374"/>
      <c r="L233" s="155"/>
      <c r="M233" s="302"/>
      <c r="N233" s="303"/>
      <c r="O233" s="324"/>
      <c r="P233" s="265"/>
      <c r="Q233" s="279"/>
      <c r="R233" s="155"/>
      <c r="S233" s="302"/>
      <c r="T233" s="303"/>
      <c r="U233" s="324"/>
      <c r="V233" s="265"/>
      <c r="W233" s="279"/>
      <c r="X233" s="155"/>
    </row>
    <row r="234" spans="1:24" s="7" customFormat="1" ht="307.5" customHeight="1">
      <c r="A234" s="104" t="s">
        <v>485</v>
      </c>
      <c r="B234" s="38" t="s">
        <v>630</v>
      </c>
      <c r="C234" s="189" t="s">
        <v>271</v>
      </c>
      <c r="D234" s="360">
        <f aca="true" t="shared" si="97" ref="D234:I234">SUM(D235)</f>
        <v>1406327.2</v>
      </c>
      <c r="E234" s="360">
        <f t="shared" si="97"/>
        <v>774543.2</v>
      </c>
      <c r="F234" s="308">
        <f t="shared" si="97"/>
        <v>-631784</v>
      </c>
      <c r="G234" s="360">
        <f t="shared" si="97"/>
        <v>0</v>
      </c>
      <c r="H234" s="360">
        <f t="shared" si="97"/>
        <v>0</v>
      </c>
      <c r="I234" s="308">
        <f t="shared" si="97"/>
        <v>0</v>
      </c>
      <c r="J234" s="379" t="s">
        <v>198</v>
      </c>
      <c r="K234" s="379" t="s">
        <v>198</v>
      </c>
      <c r="L234" s="203" t="s">
        <v>39</v>
      </c>
      <c r="M234" s="360">
        <f>SUM(M235)</f>
        <v>0</v>
      </c>
      <c r="N234" s="360">
        <f>SUM(N235)</f>
        <v>0</v>
      </c>
      <c r="O234" s="308">
        <f>SUM(O235)</f>
        <v>0</v>
      </c>
      <c r="P234" s="379" t="s">
        <v>199</v>
      </c>
      <c r="Q234" s="379" t="s">
        <v>199</v>
      </c>
      <c r="R234" s="203" t="s">
        <v>39</v>
      </c>
      <c r="S234" s="360">
        <f>SUM(S235)</f>
        <v>0</v>
      </c>
      <c r="T234" s="360">
        <f>SUM(T235)</f>
        <v>0</v>
      </c>
      <c r="U234" s="308">
        <f>SUM(U235)</f>
        <v>0</v>
      </c>
      <c r="V234" s="379" t="s">
        <v>200</v>
      </c>
      <c r="W234" s="379" t="s">
        <v>200</v>
      </c>
      <c r="X234" s="203" t="s">
        <v>39</v>
      </c>
    </row>
    <row r="235" spans="1:24" s="8" customFormat="1" ht="15" customHeight="1">
      <c r="A235" s="103" t="s">
        <v>486</v>
      </c>
      <c r="B235" s="10" t="s">
        <v>291</v>
      </c>
      <c r="C235" s="176"/>
      <c r="D235" s="386">
        <f>1405102+1225.2</f>
        <v>1406327.2</v>
      </c>
      <c r="E235" s="386">
        <v>774543.2</v>
      </c>
      <c r="F235" s="387">
        <f>E235-D235</f>
        <v>-631784</v>
      </c>
      <c r="G235" s="386"/>
      <c r="H235" s="386"/>
      <c r="I235" s="387">
        <f>H235-G235</f>
        <v>0</v>
      </c>
      <c r="J235" s="388"/>
      <c r="K235" s="388"/>
      <c r="L235" s="391"/>
      <c r="M235" s="297"/>
      <c r="N235" s="298"/>
      <c r="O235" s="304">
        <f>N235-M235</f>
        <v>0</v>
      </c>
      <c r="P235" s="262"/>
      <c r="Q235" s="260"/>
      <c r="R235" s="111"/>
      <c r="S235" s="297"/>
      <c r="T235" s="298"/>
      <c r="U235" s="304">
        <f>T235-S235</f>
        <v>0</v>
      </c>
      <c r="V235" s="262"/>
      <c r="W235" s="260"/>
      <c r="X235" s="111"/>
    </row>
    <row r="236" spans="1:24" s="8" customFormat="1" ht="15" customHeight="1">
      <c r="A236" s="103"/>
      <c r="B236" s="10"/>
      <c r="C236" s="176"/>
      <c r="D236" s="386"/>
      <c r="E236" s="386"/>
      <c r="F236" s="390"/>
      <c r="G236" s="386"/>
      <c r="H236" s="386"/>
      <c r="I236" s="390"/>
      <c r="J236" s="388"/>
      <c r="K236" s="388"/>
      <c r="L236" s="391"/>
      <c r="M236" s="297"/>
      <c r="N236" s="298"/>
      <c r="O236" s="315"/>
      <c r="P236" s="262"/>
      <c r="Q236" s="260"/>
      <c r="R236" s="95"/>
      <c r="S236" s="297"/>
      <c r="T236" s="298"/>
      <c r="U236" s="315"/>
      <c r="V236" s="262"/>
      <c r="W236" s="260"/>
      <c r="X236" s="95"/>
    </row>
    <row r="237" spans="1:24" s="7" customFormat="1" ht="331.5" customHeight="1">
      <c r="A237" s="103" t="s">
        <v>487</v>
      </c>
      <c r="B237" s="37" t="s">
        <v>635</v>
      </c>
      <c r="C237" s="189" t="s">
        <v>41</v>
      </c>
      <c r="D237" s="392">
        <f aca="true" t="shared" si="98" ref="D237:I237">SUM(D238)</f>
        <v>655306.059</v>
      </c>
      <c r="E237" s="392">
        <f t="shared" si="98"/>
        <v>539841.359</v>
      </c>
      <c r="F237" s="204">
        <f t="shared" si="98"/>
        <v>-115464.69999999995</v>
      </c>
      <c r="G237" s="392">
        <f t="shared" si="98"/>
        <v>77822</v>
      </c>
      <c r="H237" s="392">
        <f t="shared" si="98"/>
        <v>58800</v>
      </c>
      <c r="I237" s="204">
        <f t="shared" si="98"/>
        <v>-19022</v>
      </c>
      <c r="J237" s="379" t="s">
        <v>198</v>
      </c>
      <c r="K237" s="379" t="s">
        <v>198</v>
      </c>
      <c r="L237" s="203" t="s">
        <v>39</v>
      </c>
      <c r="M237" s="392">
        <f>SUM(M238)</f>
        <v>111225</v>
      </c>
      <c r="N237" s="392">
        <f>SUM(N238)</f>
        <v>62229.6</v>
      </c>
      <c r="O237" s="204">
        <f>SUM(O238)</f>
        <v>-48995.4</v>
      </c>
      <c r="P237" s="379" t="s">
        <v>199</v>
      </c>
      <c r="Q237" s="379" t="s">
        <v>199</v>
      </c>
      <c r="R237" s="203" t="s">
        <v>39</v>
      </c>
      <c r="S237" s="392">
        <f>SUM(S238)</f>
        <v>111225</v>
      </c>
      <c r="T237" s="392">
        <f>SUM(T238)</f>
        <v>63777.7</v>
      </c>
      <c r="U237" s="204">
        <f>SUM(U238)</f>
        <v>-47447.3</v>
      </c>
      <c r="V237" s="379" t="s">
        <v>200</v>
      </c>
      <c r="W237" s="379" t="s">
        <v>200</v>
      </c>
      <c r="X237" s="203" t="s">
        <v>39</v>
      </c>
    </row>
    <row r="238" spans="1:24" s="8" customFormat="1" ht="15" customHeight="1">
      <c r="A238" s="103" t="s">
        <v>488</v>
      </c>
      <c r="B238" s="12" t="s">
        <v>289</v>
      </c>
      <c r="C238" s="176"/>
      <c r="D238" s="386">
        <f>655206.059+100</f>
        <v>655306.059</v>
      </c>
      <c r="E238" s="386">
        <v>539841.359</v>
      </c>
      <c r="F238" s="387">
        <f>E238-D238</f>
        <v>-115464.69999999995</v>
      </c>
      <c r="G238" s="386">
        <v>77822</v>
      </c>
      <c r="H238" s="386">
        <v>58800</v>
      </c>
      <c r="I238" s="387">
        <f>H238-G238</f>
        <v>-19022</v>
      </c>
      <c r="J238" s="388"/>
      <c r="K238" s="388"/>
      <c r="L238" s="389"/>
      <c r="M238" s="386">
        <v>111225</v>
      </c>
      <c r="N238" s="386">
        <v>62229.6</v>
      </c>
      <c r="O238" s="387">
        <f>N238-M238</f>
        <v>-48995.4</v>
      </c>
      <c r="P238" s="388"/>
      <c r="Q238" s="388"/>
      <c r="R238" s="389"/>
      <c r="S238" s="386">
        <v>111225</v>
      </c>
      <c r="T238" s="386">
        <v>63777.7</v>
      </c>
      <c r="U238" s="387">
        <f>T238-S238</f>
        <v>-47447.3</v>
      </c>
      <c r="V238" s="388"/>
      <c r="W238" s="388"/>
      <c r="X238" s="389"/>
    </row>
    <row r="239" spans="1:24" s="8" customFormat="1" ht="15" customHeight="1">
      <c r="A239" s="103"/>
      <c r="B239" s="12"/>
      <c r="C239" s="176"/>
      <c r="D239" s="384"/>
      <c r="E239" s="384"/>
      <c r="F239" s="404"/>
      <c r="G239" s="384"/>
      <c r="H239" s="384"/>
      <c r="I239" s="404"/>
      <c r="J239" s="382"/>
      <c r="K239" s="382"/>
      <c r="L239" s="383"/>
      <c r="M239" s="384"/>
      <c r="N239" s="384"/>
      <c r="O239" s="404"/>
      <c r="P239" s="382"/>
      <c r="Q239" s="382"/>
      <c r="R239" s="383"/>
      <c r="S239" s="384"/>
      <c r="T239" s="384"/>
      <c r="U239" s="404"/>
      <c r="V239" s="382"/>
      <c r="W239" s="382"/>
      <c r="X239" s="383"/>
    </row>
    <row r="240" spans="1:24" s="8" customFormat="1" ht="111.75" customHeight="1">
      <c r="A240" s="104" t="s">
        <v>489</v>
      </c>
      <c r="B240" s="43" t="s">
        <v>631</v>
      </c>
      <c r="C240" s="187" t="s">
        <v>72</v>
      </c>
      <c r="D240" s="368">
        <f aca="true" t="shared" si="99" ref="D240:I240">SUM(D241+D245)</f>
        <v>266051.618</v>
      </c>
      <c r="E240" s="368">
        <f t="shared" si="99"/>
        <v>261147.118</v>
      </c>
      <c r="F240" s="318">
        <f t="shared" si="99"/>
        <v>-4904.5</v>
      </c>
      <c r="G240" s="368">
        <f t="shared" si="99"/>
        <v>32406</v>
      </c>
      <c r="H240" s="368">
        <f t="shared" si="99"/>
        <v>32000</v>
      </c>
      <c r="I240" s="318">
        <f t="shared" si="99"/>
        <v>-406</v>
      </c>
      <c r="J240" s="367" t="s">
        <v>201</v>
      </c>
      <c r="K240" s="367" t="s">
        <v>202</v>
      </c>
      <c r="L240" s="225" t="s">
        <v>203</v>
      </c>
      <c r="M240" s="368">
        <f>SUM(M241+M245)</f>
        <v>32820</v>
      </c>
      <c r="N240" s="368">
        <f>SUM(N241+N245)</f>
        <v>33079.8</v>
      </c>
      <c r="O240" s="318">
        <f>SUM(O241+O245)</f>
        <v>259.8000000000029</v>
      </c>
      <c r="P240" s="367" t="s">
        <v>204</v>
      </c>
      <c r="Q240" s="367" t="s">
        <v>239</v>
      </c>
      <c r="R240" s="225" t="s">
        <v>240</v>
      </c>
      <c r="S240" s="368">
        <f>SUM(S241+S245)</f>
        <v>32820</v>
      </c>
      <c r="T240" s="368">
        <f>SUM(T241+T245)</f>
        <v>33161.7</v>
      </c>
      <c r="U240" s="318">
        <f>SUM(U241+U245)</f>
        <v>341.6999999999971</v>
      </c>
      <c r="V240" s="367" t="s">
        <v>205</v>
      </c>
      <c r="W240" s="367" t="s">
        <v>239</v>
      </c>
      <c r="X240" s="226" t="s">
        <v>241</v>
      </c>
    </row>
    <row r="241" spans="1:24" s="8" customFormat="1" ht="15" customHeight="1">
      <c r="A241" s="103" t="s">
        <v>490</v>
      </c>
      <c r="B241" s="12" t="s">
        <v>289</v>
      </c>
      <c r="C241" s="176"/>
      <c r="D241" s="352">
        <f>SUM(D243:D244)</f>
        <v>253354.218</v>
      </c>
      <c r="E241" s="352">
        <f>SUM(E243:E244)</f>
        <v>253549.718</v>
      </c>
      <c r="F241" s="304">
        <f>E241-D241</f>
        <v>195.5</v>
      </c>
      <c r="G241" s="352">
        <f>SUM(G243:G244)</f>
        <v>32406</v>
      </c>
      <c r="H241" s="352">
        <f>SUM(H243:H244)</f>
        <v>32000</v>
      </c>
      <c r="I241" s="304">
        <f>H241-G241</f>
        <v>-406</v>
      </c>
      <c r="J241" s="353"/>
      <c r="K241" s="353"/>
      <c r="L241" s="116"/>
      <c r="M241" s="352">
        <f>SUM(M243:M244)</f>
        <v>32820</v>
      </c>
      <c r="N241" s="352">
        <f>SUM(N243:N244)</f>
        <v>33079.8</v>
      </c>
      <c r="O241" s="304">
        <f>N241-M241</f>
        <v>259.8000000000029</v>
      </c>
      <c r="P241" s="353"/>
      <c r="Q241" s="353"/>
      <c r="R241" s="116"/>
      <c r="S241" s="352">
        <f>SUM(S243:S244)</f>
        <v>32820</v>
      </c>
      <c r="T241" s="352">
        <f>SUM(T243:T244)</f>
        <v>33161.7</v>
      </c>
      <c r="U241" s="304">
        <f>T241-S241</f>
        <v>341.6999999999971</v>
      </c>
      <c r="V241" s="353"/>
      <c r="W241" s="353"/>
      <c r="X241" s="116"/>
    </row>
    <row r="242" spans="1:24" s="13" customFormat="1" ht="15" customHeight="1">
      <c r="A242" s="100"/>
      <c r="B242" s="12" t="s">
        <v>304</v>
      </c>
      <c r="C242" s="180"/>
      <c r="D242" s="369"/>
      <c r="E242" s="369"/>
      <c r="F242" s="320"/>
      <c r="G242" s="369"/>
      <c r="H242" s="369"/>
      <c r="I242" s="320"/>
      <c r="J242" s="370"/>
      <c r="K242" s="370"/>
      <c r="L242" s="153"/>
      <c r="M242" s="319"/>
      <c r="N242" s="313"/>
      <c r="O242" s="320"/>
      <c r="P242" s="270"/>
      <c r="Q242" s="283"/>
      <c r="R242" s="153"/>
      <c r="S242" s="319"/>
      <c r="T242" s="313"/>
      <c r="U242" s="320"/>
      <c r="V242" s="270"/>
      <c r="W242" s="283"/>
      <c r="X242" s="153"/>
    </row>
    <row r="243" spans="1:24" s="8" customFormat="1" ht="26.25" customHeight="1">
      <c r="A243" s="103" t="s">
        <v>491</v>
      </c>
      <c r="B243" s="44" t="s">
        <v>303</v>
      </c>
      <c r="C243" s="176"/>
      <c r="D243" s="371">
        <v>220330.57</v>
      </c>
      <c r="E243" s="371">
        <v>220526.07</v>
      </c>
      <c r="F243" s="324">
        <f>E243-D243</f>
        <v>195.5</v>
      </c>
      <c r="G243" s="371">
        <v>32406</v>
      </c>
      <c r="H243" s="371">
        <v>32000</v>
      </c>
      <c r="I243" s="324">
        <f>H243-G243</f>
        <v>-406</v>
      </c>
      <c r="J243" s="372"/>
      <c r="K243" s="372"/>
      <c r="L243" s="155"/>
      <c r="M243" s="395">
        <v>32820</v>
      </c>
      <c r="N243" s="395">
        <v>33079.8</v>
      </c>
      <c r="O243" s="316">
        <f>N243-M243</f>
        <v>259.8000000000029</v>
      </c>
      <c r="P243" s="396"/>
      <c r="Q243" s="396"/>
      <c r="R243" s="117"/>
      <c r="S243" s="395">
        <v>32820</v>
      </c>
      <c r="T243" s="395">
        <v>33161.7</v>
      </c>
      <c r="U243" s="316">
        <f>T243-S243</f>
        <v>341.6999999999971</v>
      </c>
      <c r="V243" s="396"/>
      <c r="W243" s="396"/>
      <c r="X243" s="116"/>
    </row>
    <row r="244" spans="1:24" s="8" customFormat="1" ht="48.75" customHeight="1">
      <c r="A244" s="103" t="s">
        <v>492</v>
      </c>
      <c r="B244" s="45" t="s">
        <v>300</v>
      </c>
      <c r="C244" s="176"/>
      <c r="D244" s="373">
        <v>33023.648</v>
      </c>
      <c r="E244" s="373">
        <v>33023.648</v>
      </c>
      <c r="F244" s="324">
        <v>0</v>
      </c>
      <c r="G244" s="373"/>
      <c r="H244" s="373"/>
      <c r="I244" s="324">
        <v>0</v>
      </c>
      <c r="J244" s="374"/>
      <c r="K244" s="374"/>
      <c r="L244" s="155"/>
      <c r="M244" s="401"/>
      <c r="N244" s="401"/>
      <c r="O244" s="316">
        <v>0</v>
      </c>
      <c r="P244" s="402"/>
      <c r="Q244" s="402"/>
      <c r="R244" s="117"/>
      <c r="S244" s="401"/>
      <c r="T244" s="401"/>
      <c r="U244" s="316">
        <v>0</v>
      </c>
      <c r="V244" s="402"/>
      <c r="W244" s="402"/>
      <c r="X244" s="117"/>
    </row>
    <row r="245" spans="1:24" s="8" customFormat="1" ht="15" customHeight="1">
      <c r="A245" s="103" t="s">
        <v>493</v>
      </c>
      <c r="B245" s="10" t="s">
        <v>292</v>
      </c>
      <c r="C245" s="176"/>
      <c r="D245" s="371">
        <v>12697.4</v>
      </c>
      <c r="E245" s="371">
        <v>7597.4</v>
      </c>
      <c r="F245" s="324">
        <f>E245-D245</f>
        <v>-5100</v>
      </c>
      <c r="G245" s="371"/>
      <c r="H245" s="371"/>
      <c r="I245" s="324">
        <f>H245-G245</f>
        <v>0</v>
      </c>
      <c r="J245" s="372"/>
      <c r="K245" s="372"/>
      <c r="L245" s="155"/>
      <c r="M245" s="395"/>
      <c r="N245" s="395"/>
      <c r="O245" s="316">
        <f>N245-M245</f>
        <v>0</v>
      </c>
      <c r="P245" s="396"/>
      <c r="Q245" s="396"/>
      <c r="R245" s="117"/>
      <c r="S245" s="395"/>
      <c r="T245" s="395"/>
      <c r="U245" s="316">
        <f>T245-S245</f>
        <v>0</v>
      </c>
      <c r="V245" s="396"/>
      <c r="W245" s="396"/>
      <c r="X245" s="116"/>
    </row>
    <row r="246" spans="1:24" s="8" customFormat="1" ht="15" customHeight="1">
      <c r="A246" s="103"/>
      <c r="B246" s="10"/>
      <c r="C246" s="176"/>
      <c r="D246" s="375"/>
      <c r="E246" s="375"/>
      <c r="F246" s="376"/>
      <c r="G246" s="375"/>
      <c r="H246" s="375"/>
      <c r="I246" s="376"/>
      <c r="J246" s="377"/>
      <c r="K246" s="377"/>
      <c r="L246" s="378"/>
      <c r="M246" s="413"/>
      <c r="N246" s="413"/>
      <c r="O246" s="317"/>
      <c r="P246" s="414"/>
      <c r="Q246" s="414"/>
      <c r="R246" s="118"/>
      <c r="S246" s="413"/>
      <c r="T246" s="413"/>
      <c r="U246" s="317"/>
      <c r="V246" s="414"/>
      <c r="W246" s="414"/>
      <c r="X246" s="118"/>
    </row>
    <row r="247" spans="1:24" s="14" customFormat="1" ht="81.75" customHeight="1">
      <c r="A247" s="102" t="s">
        <v>494</v>
      </c>
      <c r="B247" s="46" t="s">
        <v>632</v>
      </c>
      <c r="C247" s="188" t="s">
        <v>34</v>
      </c>
      <c r="D247" s="368">
        <f aca="true" t="shared" si="100" ref="D247:I247">SUM(D248)</f>
        <v>3124.8</v>
      </c>
      <c r="E247" s="368">
        <f t="shared" si="100"/>
        <v>3124.8</v>
      </c>
      <c r="F247" s="318">
        <f t="shared" si="100"/>
        <v>0</v>
      </c>
      <c r="G247" s="368">
        <f t="shared" si="100"/>
        <v>0</v>
      </c>
      <c r="H247" s="368">
        <f t="shared" si="100"/>
        <v>0</v>
      </c>
      <c r="I247" s="318">
        <f t="shared" si="100"/>
        <v>0</v>
      </c>
      <c r="J247" s="405"/>
      <c r="K247" s="405"/>
      <c r="L247" s="120"/>
      <c r="M247" s="368">
        <f>SUM(M248)</f>
        <v>0</v>
      </c>
      <c r="N247" s="368">
        <f>SUM(N248)</f>
        <v>0</v>
      </c>
      <c r="O247" s="318">
        <f>SUM(O248)</f>
        <v>0</v>
      </c>
      <c r="P247" s="405"/>
      <c r="Q247" s="405"/>
      <c r="R247" s="120"/>
      <c r="S247" s="368">
        <f>SUM(S248)</f>
        <v>0</v>
      </c>
      <c r="T247" s="368">
        <f>SUM(T248)</f>
        <v>0</v>
      </c>
      <c r="U247" s="318">
        <f>SUM(U248)</f>
        <v>0</v>
      </c>
      <c r="V247" s="405"/>
      <c r="W247" s="405"/>
      <c r="X247" s="120"/>
    </row>
    <row r="248" spans="1:24" s="14" customFormat="1" ht="15" customHeight="1">
      <c r="A248" s="99" t="s">
        <v>495</v>
      </c>
      <c r="B248" s="28" t="s">
        <v>291</v>
      </c>
      <c r="C248" s="177"/>
      <c r="D248" s="352">
        <f>SUM(D250)</f>
        <v>3124.8</v>
      </c>
      <c r="E248" s="352">
        <f>SUM(E250)</f>
        <v>3124.8</v>
      </c>
      <c r="F248" s="304">
        <f>E248-D248</f>
        <v>0</v>
      </c>
      <c r="G248" s="352">
        <f>SUM(G250)</f>
        <v>0</v>
      </c>
      <c r="H248" s="352">
        <f>SUM(H250)</f>
        <v>0</v>
      </c>
      <c r="I248" s="304">
        <f>H248-G248</f>
        <v>0</v>
      </c>
      <c r="J248" s="353"/>
      <c r="K248" s="353"/>
      <c r="L248" s="116"/>
      <c r="M248" s="352">
        <f>SUM(M250)</f>
        <v>0</v>
      </c>
      <c r="N248" s="352">
        <f>SUM(N250)</f>
        <v>0</v>
      </c>
      <c r="O248" s="304">
        <f>N248-M248</f>
        <v>0</v>
      </c>
      <c r="P248" s="353"/>
      <c r="Q248" s="353"/>
      <c r="R248" s="116"/>
      <c r="S248" s="352">
        <f>SUM(S250)</f>
        <v>0</v>
      </c>
      <c r="T248" s="352">
        <f>SUM(T250)</f>
        <v>0</v>
      </c>
      <c r="U248" s="304">
        <f>T248-S248</f>
        <v>0</v>
      </c>
      <c r="V248" s="353"/>
      <c r="W248" s="353"/>
      <c r="X248" s="116"/>
    </row>
    <row r="249" spans="1:24" s="31" customFormat="1" ht="15" customHeight="1">
      <c r="A249" s="101"/>
      <c r="B249" s="28" t="s">
        <v>304</v>
      </c>
      <c r="C249" s="179"/>
      <c r="D249" s="369"/>
      <c r="E249" s="369"/>
      <c r="F249" s="320"/>
      <c r="G249" s="369"/>
      <c r="H249" s="369"/>
      <c r="I249" s="320"/>
      <c r="J249" s="370"/>
      <c r="K249" s="370"/>
      <c r="L249" s="153"/>
      <c r="M249" s="319"/>
      <c r="N249" s="313"/>
      <c r="O249" s="320"/>
      <c r="P249" s="270"/>
      <c r="Q249" s="283"/>
      <c r="R249" s="153"/>
      <c r="S249" s="319"/>
      <c r="T249" s="313"/>
      <c r="U249" s="320"/>
      <c r="V249" s="270"/>
      <c r="W249" s="283"/>
      <c r="X249" s="153"/>
    </row>
    <row r="250" spans="1:24" s="14" customFormat="1" ht="48" customHeight="1">
      <c r="A250" s="99" t="s">
        <v>496</v>
      </c>
      <c r="B250" s="67" t="s">
        <v>300</v>
      </c>
      <c r="C250" s="177"/>
      <c r="D250" s="371">
        <v>3124.8</v>
      </c>
      <c r="E250" s="371">
        <v>3124.8</v>
      </c>
      <c r="F250" s="324">
        <f>E250-D250</f>
        <v>0</v>
      </c>
      <c r="G250" s="371"/>
      <c r="H250" s="371"/>
      <c r="I250" s="324">
        <f>H250-G250</f>
        <v>0</v>
      </c>
      <c r="J250" s="372"/>
      <c r="K250" s="372"/>
      <c r="L250" s="155"/>
      <c r="M250" s="395"/>
      <c r="N250" s="395"/>
      <c r="O250" s="316">
        <f>N250-M250</f>
        <v>0</v>
      </c>
      <c r="P250" s="396"/>
      <c r="Q250" s="396"/>
      <c r="R250" s="117"/>
      <c r="S250" s="395"/>
      <c r="T250" s="395"/>
      <c r="U250" s="316">
        <f>T250-S250</f>
        <v>0</v>
      </c>
      <c r="V250" s="396"/>
      <c r="W250" s="396"/>
      <c r="X250" s="116"/>
    </row>
    <row r="251" spans="1:24" s="14" customFormat="1" ht="15.75">
      <c r="A251" s="99"/>
      <c r="B251" s="67"/>
      <c r="C251" s="177"/>
      <c r="D251" s="371"/>
      <c r="E251" s="371"/>
      <c r="F251" s="314"/>
      <c r="G251" s="371"/>
      <c r="H251" s="371"/>
      <c r="I251" s="314"/>
      <c r="J251" s="372"/>
      <c r="K251" s="372"/>
      <c r="L251" s="121"/>
      <c r="M251" s="395"/>
      <c r="N251" s="395"/>
      <c r="O251" s="315"/>
      <c r="P251" s="396"/>
      <c r="Q251" s="396"/>
      <c r="R251" s="95"/>
      <c r="S251" s="395"/>
      <c r="T251" s="395"/>
      <c r="U251" s="315"/>
      <c r="V251" s="396"/>
      <c r="W251" s="396"/>
      <c r="X251" s="95"/>
    </row>
    <row r="252" spans="1:24" s="14" customFormat="1" ht="63.75" customHeight="1">
      <c r="A252" s="103" t="s">
        <v>497</v>
      </c>
      <c r="B252" s="43" t="s">
        <v>633</v>
      </c>
      <c r="C252" s="188" t="s">
        <v>35</v>
      </c>
      <c r="D252" s="392">
        <f aca="true" t="shared" si="101" ref="D252:I252">SUM(D253)</f>
        <v>25528</v>
      </c>
      <c r="E252" s="392">
        <f t="shared" si="101"/>
        <v>25528</v>
      </c>
      <c r="F252" s="204">
        <f t="shared" si="101"/>
        <v>0</v>
      </c>
      <c r="G252" s="392">
        <f t="shared" si="101"/>
        <v>0</v>
      </c>
      <c r="H252" s="392">
        <f t="shared" si="101"/>
        <v>0</v>
      </c>
      <c r="I252" s="204">
        <f t="shared" si="101"/>
        <v>0</v>
      </c>
      <c r="J252" s="393"/>
      <c r="K252" s="393"/>
      <c r="L252" s="114"/>
      <c r="M252" s="392">
        <f>SUM(M253)</f>
        <v>0</v>
      </c>
      <c r="N252" s="392">
        <f>SUM(N253)</f>
        <v>0</v>
      </c>
      <c r="O252" s="204">
        <f>SUM(O253)</f>
        <v>0</v>
      </c>
      <c r="P252" s="393"/>
      <c r="Q252" s="393"/>
      <c r="R252" s="114"/>
      <c r="S252" s="392">
        <f>SUM(S253)</f>
        <v>0</v>
      </c>
      <c r="T252" s="392">
        <f>SUM(T253)</f>
        <v>0</v>
      </c>
      <c r="U252" s="204">
        <f>SUM(U253)</f>
        <v>0</v>
      </c>
      <c r="V252" s="393"/>
      <c r="W252" s="393"/>
      <c r="X252" s="114"/>
    </row>
    <row r="253" spans="1:24" s="14" customFormat="1" ht="16.5" customHeight="1">
      <c r="A253" s="103" t="s">
        <v>498</v>
      </c>
      <c r="B253" s="10" t="s">
        <v>291</v>
      </c>
      <c r="C253" s="176"/>
      <c r="D253" s="352">
        <v>25528</v>
      </c>
      <c r="E253" s="352">
        <v>25528</v>
      </c>
      <c r="F253" s="304">
        <f>E253-D253</f>
        <v>0</v>
      </c>
      <c r="G253" s="352">
        <v>0</v>
      </c>
      <c r="H253" s="352">
        <v>0</v>
      </c>
      <c r="I253" s="304">
        <f>H253-G253</f>
        <v>0</v>
      </c>
      <c r="J253" s="353"/>
      <c r="K253" s="353"/>
      <c r="L253" s="116"/>
      <c r="M253" s="352">
        <v>0</v>
      </c>
      <c r="N253" s="352">
        <v>0</v>
      </c>
      <c r="O253" s="304">
        <f>N253-M253</f>
        <v>0</v>
      </c>
      <c r="P253" s="353"/>
      <c r="Q253" s="353"/>
      <c r="R253" s="116"/>
      <c r="S253" s="352">
        <v>0</v>
      </c>
      <c r="T253" s="352">
        <v>0</v>
      </c>
      <c r="U253" s="304">
        <f>T253-S253</f>
        <v>0</v>
      </c>
      <c r="V253" s="353"/>
      <c r="W253" s="353"/>
      <c r="X253" s="116"/>
    </row>
    <row r="254" spans="1:24" s="14" customFormat="1" ht="16.5" customHeight="1">
      <c r="A254" s="103"/>
      <c r="B254" s="10"/>
      <c r="C254" s="176"/>
      <c r="D254" s="352"/>
      <c r="E254" s="352"/>
      <c r="F254" s="299"/>
      <c r="G254" s="352"/>
      <c r="H254" s="352"/>
      <c r="I254" s="299"/>
      <c r="J254" s="353"/>
      <c r="K254" s="353"/>
      <c r="L254" s="111"/>
      <c r="M254" s="352"/>
      <c r="N254" s="352"/>
      <c r="O254" s="299"/>
      <c r="P254" s="353"/>
      <c r="Q254" s="353"/>
      <c r="R254" s="111"/>
      <c r="S254" s="352"/>
      <c r="T254" s="352"/>
      <c r="U254" s="299"/>
      <c r="V254" s="353"/>
      <c r="W254" s="353"/>
      <c r="X254" s="95"/>
    </row>
    <row r="255" spans="1:24" s="8" customFormat="1" ht="108.75" customHeight="1">
      <c r="A255" s="103" t="s">
        <v>499</v>
      </c>
      <c r="B255" s="46" t="s">
        <v>634</v>
      </c>
      <c r="C255" s="188" t="s">
        <v>36</v>
      </c>
      <c r="D255" s="392">
        <f aca="true" t="shared" si="102" ref="D255:I255">SUM(D256:D258)</f>
        <v>2863.926</v>
      </c>
      <c r="E255" s="392">
        <f t="shared" si="102"/>
        <v>2863.926</v>
      </c>
      <c r="F255" s="204">
        <f t="shared" si="102"/>
        <v>0</v>
      </c>
      <c r="G255" s="392">
        <f t="shared" si="102"/>
        <v>0</v>
      </c>
      <c r="H255" s="392">
        <f t="shared" si="102"/>
        <v>0</v>
      </c>
      <c r="I255" s="204">
        <f t="shared" si="102"/>
        <v>0</v>
      </c>
      <c r="J255" s="393"/>
      <c r="K255" s="393"/>
      <c r="L255" s="114"/>
      <c r="M255" s="392">
        <f>SUM(M256:M258)</f>
        <v>0</v>
      </c>
      <c r="N255" s="392">
        <f>SUM(N256:N258)</f>
        <v>0</v>
      </c>
      <c r="O255" s="204">
        <f>SUM(O256:O258)</f>
        <v>0</v>
      </c>
      <c r="P255" s="393"/>
      <c r="Q255" s="393"/>
      <c r="R255" s="114"/>
      <c r="S255" s="392">
        <f>SUM(S256:S258)</f>
        <v>0</v>
      </c>
      <c r="T255" s="392">
        <f>SUM(T256:T258)</f>
        <v>0</v>
      </c>
      <c r="U255" s="204">
        <f>SUM(U256:U258)</f>
        <v>0</v>
      </c>
      <c r="V255" s="393"/>
      <c r="W255" s="393"/>
      <c r="X255" s="114"/>
    </row>
    <row r="256" spans="1:24" s="8" customFormat="1" ht="15" customHeight="1">
      <c r="A256" s="103" t="s">
        <v>500</v>
      </c>
      <c r="B256" s="32" t="s">
        <v>289</v>
      </c>
      <c r="C256" s="177"/>
      <c r="D256" s="392">
        <f>SUM(D260)</f>
        <v>150</v>
      </c>
      <c r="E256" s="392">
        <f aca="true" t="shared" si="103" ref="E256:H257">SUM(E260)</f>
        <v>150</v>
      </c>
      <c r="F256" s="204">
        <f t="shared" si="103"/>
        <v>0</v>
      </c>
      <c r="G256" s="392">
        <f t="shared" si="103"/>
        <v>0</v>
      </c>
      <c r="H256" s="392">
        <f t="shared" si="103"/>
        <v>0</v>
      </c>
      <c r="I256" s="204">
        <f>SUM(I260)</f>
        <v>0</v>
      </c>
      <c r="J256" s="393"/>
      <c r="K256" s="393"/>
      <c r="L256" s="114"/>
      <c r="M256" s="392">
        <f aca="true" t="shared" si="104" ref="M256:O257">SUM(M260)</f>
        <v>0</v>
      </c>
      <c r="N256" s="392">
        <f t="shared" si="104"/>
        <v>0</v>
      </c>
      <c r="O256" s="204">
        <f t="shared" si="104"/>
        <v>0</v>
      </c>
      <c r="P256" s="393"/>
      <c r="Q256" s="393"/>
      <c r="R256" s="114"/>
      <c r="S256" s="392">
        <f aca="true" t="shared" si="105" ref="S256:U257">SUM(S260)</f>
        <v>0</v>
      </c>
      <c r="T256" s="392">
        <f t="shared" si="105"/>
        <v>0</v>
      </c>
      <c r="U256" s="204">
        <f t="shared" si="105"/>
        <v>0</v>
      </c>
      <c r="V256" s="393"/>
      <c r="W256" s="393"/>
      <c r="X256" s="114"/>
    </row>
    <row r="257" spans="1:24" s="8" customFormat="1" ht="15" customHeight="1">
      <c r="A257" s="103" t="s">
        <v>501</v>
      </c>
      <c r="B257" s="32" t="s">
        <v>291</v>
      </c>
      <c r="C257" s="177"/>
      <c r="D257" s="392">
        <f>SUM(D261)</f>
        <v>512.82</v>
      </c>
      <c r="E257" s="392">
        <f t="shared" si="103"/>
        <v>512.82</v>
      </c>
      <c r="F257" s="204">
        <f t="shared" si="103"/>
        <v>0</v>
      </c>
      <c r="G257" s="392">
        <f t="shared" si="103"/>
        <v>0</v>
      </c>
      <c r="H257" s="392">
        <f t="shared" si="103"/>
        <v>0</v>
      </c>
      <c r="I257" s="204">
        <f>SUM(I261)</f>
        <v>0</v>
      </c>
      <c r="J257" s="393"/>
      <c r="K257" s="393"/>
      <c r="L257" s="114"/>
      <c r="M257" s="392">
        <f t="shared" si="104"/>
        <v>0</v>
      </c>
      <c r="N257" s="392">
        <f t="shared" si="104"/>
        <v>0</v>
      </c>
      <c r="O257" s="204">
        <f t="shared" si="104"/>
        <v>0</v>
      </c>
      <c r="P257" s="393"/>
      <c r="Q257" s="393"/>
      <c r="R257" s="114"/>
      <c r="S257" s="392">
        <f t="shared" si="105"/>
        <v>0</v>
      </c>
      <c r="T257" s="392">
        <f t="shared" si="105"/>
        <v>0</v>
      </c>
      <c r="U257" s="204">
        <f t="shared" si="105"/>
        <v>0</v>
      </c>
      <c r="V257" s="393"/>
      <c r="W257" s="393"/>
      <c r="X257" s="114"/>
    </row>
    <row r="258" spans="1:24" s="8" customFormat="1" ht="15" customHeight="1">
      <c r="A258" s="103" t="s">
        <v>502</v>
      </c>
      <c r="B258" s="32" t="s">
        <v>290</v>
      </c>
      <c r="C258" s="177"/>
      <c r="D258" s="392">
        <f aca="true" t="shared" si="106" ref="D258:I258">SUM(D262+D264)</f>
        <v>2201.1059999999998</v>
      </c>
      <c r="E258" s="392">
        <f t="shared" si="106"/>
        <v>2201.1059999999998</v>
      </c>
      <c r="F258" s="204">
        <f t="shared" si="106"/>
        <v>0</v>
      </c>
      <c r="G258" s="392">
        <f t="shared" si="106"/>
        <v>0</v>
      </c>
      <c r="H258" s="392">
        <f t="shared" si="106"/>
        <v>0</v>
      </c>
      <c r="I258" s="204">
        <f t="shared" si="106"/>
        <v>0</v>
      </c>
      <c r="J258" s="393"/>
      <c r="K258" s="393"/>
      <c r="L258" s="114"/>
      <c r="M258" s="392">
        <f>SUM(M262+M264)</f>
        <v>0</v>
      </c>
      <c r="N258" s="392">
        <f>SUM(N262+N264)</f>
        <v>0</v>
      </c>
      <c r="O258" s="204">
        <f>SUM(O262+O264)</f>
        <v>0</v>
      </c>
      <c r="P258" s="393"/>
      <c r="Q258" s="393"/>
      <c r="R258" s="114"/>
      <c r="S258" s="392">
        <f>SUM(S262+S264)</f>
        <v>0</v>
      </c>
      <c r="T258" s="392">
        <f>SUM(T262+T264)</f>
        <v>0</v>
      </c>
      <c r="U258" s="204">
        <f>SUM(U262+U264)</f>
        <v>0</v>
      </c>
      <c r="V258" s="393"/>
      <c r="W258" s="393"/>
      <c r="X258" s="114"/>
    </row>
    <row r="259" spans="1:24" s="8" customFormat="1" ht="15" customHeight="1">
      <c r="A259" s="104"/>
      <c r="B259" s="93" t="s">
        <v>389</v>
      </c>
      <c r="C259" s="178"/>
      <c r="D259" s="352"/>
      <c r="E259" s="352"/>
      <c r="F259" s="299"/>
      <c r="G259" s="352"/>
      <c r="H259" s="352"/>
      <c r="I259" s="299"/>
      <c r="J259" s="353"/>
      <c r="K259" s="353"/>
      <c r="L259" s="111"/>
      <c r="M259" s="352"/>
      <c r="N259" s="352"/>
      <c r="O259" s="299"/>
      <c r="P259" s="353"/>
      <c r="Q259" s="353"/>
      <c r="R259" s="111"/>
      <c r="S259" s="352"/>
      <c r="T259" s="352"/>
      <c r="U259" s="299"/>
      <c r="V259" s="353"/>
      <c r="W259" s="353"/>
      <c r="X259" s="111"/>
    </row>
    <row r="260" spans="1:24" s="8" customFormat="1" ht="15" customHeight="1">
      <c r="A260" s="104" t="s">
        <v>503</v>
      </c>
      <c r="B260" s="32" t="s">
        <v>289</v>
      </c>
      <c r="C260" s="177"/>
      <c r="D260" s="352">
        <v>150</v>
      </c>
      <c r="E260" s="352">
        <v>150</v>
      </c>
      <c r="F260" s="304">
        <f>E260-D260</f>
        <v>0</v>
      </c>
      <c r="G260" s="352"/>
      <c r="H260" s="352"/>
      <c r="I260" s="304">
        <f>H260-G260</f>
        <v>0</v>
      </c>
      <c r="J260" s="353"/>
      <c r="K260" s="353"/>
      <c r="L260" s="116"/>
      <c r="M260" s="352"/>
      <c r="N260" s="352"/>
      <c r="O260" s="304">
        <f>N260-M260</f>
        <v>0</v>
      </c>
      <c r="P260" s="353"/>
      <c r="Q260" s="353"/>
      <c r="R260" s="116"/>
      <c r="S260" s="352"/>
      <c r="T260" s="352"/>
      <c r="U260" s="304">
        <f>T260-S260</f>
        <v>0</v>
      </c>
      <c r="V260" s="353"/>
      <c r="W260" s="353"/>
      <c r="X260" s="116"/>
    </row>
    <row r="261" spans="1:24" s="8" customFormat="1" ht="15" customHeight="1">
      <c r="A261" s="104" t="s">
        <v>504</v>
      </c>
      <c r="B261" s="32" t="s">
        <v>291</v>
      </c>
      <c r="C261" s="177"/>
      <c r="D261" s="352">
        <v>512.82</v>
      </c>
      <c r="E261" s="352">
        <v>512.82</v>
      </c>
      <c r="F261" s="304">
        <f>E261-D261</f>
        <v>0</v>
      </c>
      <c r="G261" s="352"/>
      <c r="H261" s="352"/>
      <c r="I261" s="304">
        <f>H261-G261</f>
        <v>0</v>
      </c>
      <c r="J261" s="353"/>
      <c r="K261" s="353"/>
      <c r="L261" s="116"/>
      <c r="M261" s="352"/>
      <c r="N261" s="352"/>
      <c r="O261" s="304">
        <f>N261-M261</f>
        <v>0</v>
      </c>
      <c r="P261" s="353"/>
      <c r="Q261" s="353"/>
      <c r="R261" s="116"/>
      <c r="S261" s="352"/>
      <c r="T261" s="352"/>
      <c r="U261" s="304">
        <f>T261-S261</f>
        <v>0</v>
      </c>
      <c r="V261" s="353"/>
      <c r="W261" s="353"/>
      <c r="X261" s="116"/>
    </row>
    <row r="262" spans="1:24" s="8" customFormat="1" ht="15" customHeight="1">
      <c r="A262" s="104" t="s">
        <v>505</v>
      </c>
      <c r="B262" s="32" t="s">
        <v>290</v>
      </c>
      <c r="C262" s="177"/>
      <c r="D262" s="352">
        <v>1701.106</v>
      </c>
      <c r="E262" s="352">
        <v>1701.106</v>
      </c>
      <c r="F262" s="304">
        <f>E262-D262</f>
        <v>0</v>
      </c>
      <c r="G262" s="352"/>
      <c r="H262" s="352"/>
      <c r="I262" s="304">
        <f>H262-G262</f>
        <v>0</v>
      </c>
      <c r="J262" s="353"/>
      <c r="K262" s="353"/>
      <c r="L262" s="116"/>
      <c r="M262" s="352"/>
      <c r="N262" s="352"/>
      <c r="O262" s="304">
        <f>N262-M262</f>
        <v>0</v>
      </c>
      <c r="P262" s="353"/>
      <c r="Q262" s="353"/>
      <c r="R262" s="116"/>
      <c r="S262" s="352"/>
      <c r="T262" s="352"/>
      <c r="U262" s="304">
        <f>T262-S262</f>
        <v>0</v>
      </c>
      <c r="V262" s="353"/>
      <c r="W262" s="353"/>
      <c r="X262" s="116"/>
    </row>
    <row r="263" spans="1:24" s="8" customFormat="1" ht="15" customHeight="1">
      <c r="A263" s="104"/>
      <c r="B263" s="93" t="s">
        <v>390</v>
      </c>
      <c r="C263" s="178"/>
      <c r="D263" s="352"/>
      <c r="E263" s="352"/>
      <c r="F263" s="299"/>
      <c r="G263" s="352"/>
      <c r="H263" s="352"/>
      <c r="I263" s="299"/>
      <c r="J263" s="353"/>
      <c r="K263" s="353"/>
      <c r="L263" s="111"/>
      <c r="M263" s="352"/>
      <c r="N263" s="352"/>
      <c r="O263" s="299"/>
      <c r="P263" s="353"/>
      <c r="Q263" s="353"/>
      <c r="R263" s="111"/>
      <c r="S263" s="352"/>
      <c r="T263" s="352"/>
      <c r="U263" s="299"/>
      <c r="V263" s="353"/>
      <c r="W263" s="353"/>
      <c r="X263" s="111"/>
    </row>
    <row r="264" spans="1:24" s="8" customFormat="1" ht="15" customHeight="1">
      <c r="A264" s="104" t="s">
        <v>506</v>
      </c>
      <c r="B264" s="32" t="s">
        <v>290</v>
      </c>
      <c r="C264" s="177"/>
      <c r="D264" s="352">
        <v>500</v>
      </c>
      <c r="E264" s="352">
        <v>500</v>
      </c>
      <c r="F264" s="304">
        <f>E264-D264</f>
        <v>0</v>
      </c>
      <c r="G264" s="352"/>
      <c r="H264" s="352"/>
      <c r="I264" s="304">
        <f>H264-G264</f>
        <v>0</v>
      </c>
      <c r="J264" s="353"/>
      <c r="K264" s="353"/>
      <c r="L264" s="116"/>
      <c r="M264" s="352"/>
      <c r="N264" s="352"/>
      <c r="O264" s="304">
        <f>N264-M264</f>
        <v>0</v>
      </c>
      <c r="P264" s="353"/>
      <c r="Q264" s="353"/>
      <c r="R264" s="116"/>
      <c r="S264" s="352"/>
      <c r="T264" s="352"/>
      <c r="U264" s="304">
        <f>T264-S264</f>
        <v>0</v>
      </c>
      <c r="V264" s="353"/>
      <c r="W264" s="353"/>
      <c r="X264" s="116"/>
    </row>
    <row r="265" spans="1:24" s="8" customFormat="1" ht="15" customHeight="1">
      <c r="A265" s="104"/>
      <c r="B265" s="32"/>
      <c r="C265" s="177"/>
      <c r="D265" s="352"/>
      <c r="E265" s="352"/>
      <c r="F265" s="299"/>
      <c r="G265" s="352"/>
      <c r="H265" s="352"/>
      <c r="I265" s="299"/>
      <c r="J265" s="353"/>
      <c r="K265" s="353"/>
      <c r="L265" s="111"/>
      <c r="M265" s="352"/>
      <c r="N265" s="352"/>
      <c r="O265" s="299"/>
      <c r="P265" s="353"/>
      <c r="Q265" s="353"/>
      <c r="R265" s="111"/>
      <c r="S265" s="352"/>
      <c r="T265" s="352"/>
      <c r="U265" s="299"/>
      <c r="V265" s="353"/>
      <c r="W265" s="353"/>
      <c r="X265" s="111"/>
    </row>
    <row r="266" spans="1:24" s="8" customFormat="1" ht="111" customHeight="1">
      <c r="A266" s="103" t="s">
        <v>507</v>
      </c>
      <c r="B266" s="46" t="s">
        <v>680</v>
      </c>
      <c r="C266" s="188" t="s">
        <v>36</v>
      </c>
      <c r="D266" s="392">
        <f aca="true" t="shared" si="107" ref="D266:I266">SUM(D267:D268)</f>
        <v>686.98966</v>
      </c>
      <c r="E266" s="392">
        <f t="shared" si="107"/>
        <v>686.98966</v>
      </c>
      <c r="F266" s="204">
        <f t="shared" si="107"/>
        <v>0</v>
      </c>
      <c r="G266" s="392">
        <f t="shared" si="107"/>
        <v>0</v>
      </c>
      <c r="H266" s="392">
        <f t="shared" si="107"/>
        <v>0</v>
      </c>
      <c r="I266" s="204">
        <f t="shared" si="107"/>
        <v>0</v>
      </c>
      <c r="J266" s="406"/>
      <c r="K266" s="379"/>
      <c r="L266" s="203"/>
      <c r="M266" s="392">
        <f>SUM(M267:M268)</f>
        <v>0</v>
      </c>
      <c r="N266" s="392">
        <f>SUM(N267:N268)</f>
        <v>0</v>
      </c>
      <c r="O266" s="204">
        <f>SUM(O267:O268)</f>
        <v>0</v>
      </c>
      <c r="P266" s="406"/>
      <c r="Q266" s="379"/>
      <c r="R266" s="203"/>
      <c r="S266" s="392">
        <f>SUM(S267:S268)</f>
        <v>0</v>
      </c>
      <c r="T266" s="392">
        <f>SUM(T267:T268)</f>
        <v>0</v>
      </c>
      <c r="U266" s="204">
        <f>SUM(U267:U268)</f>
        <v>0</v>
      </c>
      <c r="V266" s="406"/>
      <c r="W266" s="379"/>
      <c r="X266" s="203"/>
    </row>
    <row r="267" spans="1:24" s="8" customFormat="1" ht="15" customHeight="1">
      <c r="A267" s="103" t="s">
        <v>508</v>
      </c>
      <c r="B267" s="32" t="s">
        <v>289</v>
      </c>
      <c r="C267" s="177"/>
      <c r="D267" s="386">
        <f>186.98966+500</f>
        <v>686.98966</v>
      </c>
      <c r="E267" s="386">
        <f>186.98966+500</f>
        <v>686.98966</v>
      </c>
      <c r="F267" s="387">
        <f>E267-D267</f>
        <v>0</v>
      </c>
      <c r="G267" s="386"/>
      <c r="H267" s="386"/>
      <c r="I267" s="387">
        <f>H267-G267</f>
        <v>0</v>
      </c>
      <c r="J267" s="388"/>
      <c r="K267" s="388"/>
      <c r="L267" s="389"/>
      <c r="M267" s="386"/>
      <c r="N267" s="386"/>
      <c r="O267" s="387">
        <f>N267-M267</f>
        <v>0</v>
      </c>
      <c r="P267" s="388"/>
      <c r="Q267" s="388"/>
      <c r="R267" s="389"/>
      <c r="S267" s="386"/>
      <c r="T267" s="386"/>
      <c r="U267" s="387">
        <f>T267-S267</f>
        <v>0</v>
      </c>
      <c r="V267" s="388"/>
      <c r="W267" s="388"/>
      <c r="X267" s="389"/>
    </row>
    <row r="268" spans="1:24" s="8" customFormat="1" ht="15" customHeight="1">
      <c r="A268" s="103" t="s">
        <v>509</v>
      </c>
      <c r="B268" s="32" t="s">
        <v>291</v>
      </c>
      <c r="C268" s="177"/>
      <c r="D268" s="386"/>
      <c r="E268" s="386"/>
      <c r="F268" s="387">
        <f>E268-D268</f>
        <v>0</v>
      </c>
      <c r="G268" s="386"/>
      <c r="H268" s="386"/>
      <c r="I268" s="387">
        <f>H268-G268</f>
        <v>0</v>
      </c>
      <c r="J268" s="388"/>
      <c r="K268" s="388"/>
      <c r="L268" s="389"/>
      <c r="M268" s="386"/>
      <c r="N268" s="386"/>
      <c r="O268" s="387">
        <f>N268-M268</f>
        <v>0</v>
      </c>
      <c r="P268" s="388"/>
      <c r="Q268" s="388"/>
      <c r="R268" s="389"/>
      <c r="S268" s="386"/>
      <c r="T268" s="386"/>
      <c r="U268" s="387">
        <f>T268-S268</f>
        <v>0</v>
      </c>
      <c r="V268" s="388"/>
      <c r="W268" s="388"/>
      <c r="X268" s="389"/>
    </row>
    <row r="269" spans="1:24" s="8" customFormat="1" ht="15" customHeight="1">
      <c r="A269" s="103"/>
      <c r="B269" s="32"/>
      <c r="C269" s="177"/>
      <c r="D269" s="386"/>
      <c r="E269" s="386"/>
      <c r="F269" s="390"/>
      <c r="G269" s="386"/>
      <c r="H269" s="386"/>
      <c r="I269" s="390"/>
      <c r="J269" s="388"/>
      <c r="K269" s="388"/>
      <c r="L269" s="391"/>
      <c r="M269" s="386"/>
      <c r="N269" s="386"/>
      <c r="O269" s="390"/>
      <c r="P269" s="388"/>
      <c r="Q269" s="388"/>
      <c r="R269" s="391"/>
      <c r="S269" s="386"/>
      <c r="T269" s="386"/>
      <c r="U269" s="390"/>
      <c r="V269" s="388"/>
      <c r="W269" s="388"/>
      <c r="X269" s="391"/>
    </row>
    <row r="270" spans="1:24" s="8" customFormat="1" ht="115.5" customHeight="1">
      <c r="A270" s="103" t="s">
        <v>510</v>
      </c>
      <c r="B270" s="46" t="s">
        <v>0</v>
      </c>
      <c r="C270" s="188" t="s">
        <v>36</v>
      </c>
      <c r="D270" s="392">
        <f aca="true" t="shared" si="108" ref="D270:I270">SUM(D271:D273)</f>
        <v>21791.553</v>
      </c>
      <c r="E270" s="392">
        <f t="shared" si="108"/>
        <v>21791.553</v>
      </c>
      <c r="F270" s="204">
        <f t="shared" si="108"/>
        <v>0</v>
      </c>
      <c r="G270" s="392">
        <f t="shared" si="108"/>
        <v>0</v>
      </c>
      <c r="H270" s="392">
        <f t="shared" si="108"/>
        <v>0</v>
      </c>
      <c r="I270" s="204">
        <f t="shared" si="108"/>
        <v>0</v>
      </c>
      <c r="J270" s="379"/>
      <c r="K270" s="379"/>
      <c r="L270" s="203"/>
      <c r="M270" s="392">
        <f>SUM(M271:M273)</f>
        <v>0</v>
      </c>
      <c r="N270" s="392">
        <f>SUM(N271:N273)</f>
        <v>0</v>
      </c>
      <c r="O270" s="204">
        <f>SUM(O271:O273)</f>
        <v>0</v>
      </c>
      <c r="P270" s="379"/>
      <c r="Q270" s="379"/>
      <c r="R270" s="203"/>
      <c r="S270" s="392">
        <f>SUM(S271:S273)</f>
        <v>0</v>
      </c>
      <c r="T270" s="392">
        <f>SUM(T271:T273)</f>
        <v>0</v>
      </c>
      <c r="U270" s="204">
        <f>SUM(U271:U273)</f>
        <v>0</v>
      </c>
      <c r="V270" s="379"/>
      <c r="W270" s="379"/>
      <c r="X270" s="203"/>
    </row>
    <row r="271" spans="1:24" s="8" customFormat="1" ht="30.75" customHeight="1">
      <c r="A271" s="103" t="s">
        <v>511</v>
      </c>
      <c r="B271" s="32" t="s">
        <v>151</v>
      </c>
      <c r="C271" s="177"/>
      <c r="D271" s="386">
        <v>400</v>
      </c>
      <c r="E271" s="386">
        <v>400</v>
      </c>
      <c r="F271" s="387">
        <f>E271-D271</f>
        <v>0</v>
      </c>
      <c r="G271" s="386"/>
      <c r="H271" s="386"/>
      <c r="I271" s="387">
        <f>H271-G271</f>
        <v>0</v>
      </c>
      <c r="J271" s="388"/>
      <c r="K271" s="388"/>
      <c r="L271" s="389"/>
      <c r="M271" s="386"/>
      <c r="N271" s="386"/>
      <c r="O271" s="387">
        <f>N271-M271</f>
        <v>0</v>
      </c>
      <c r="P271" s="388"/>
      <c r="Q271" s="388"/>
      <c r="R271" s="389"/>
      <c r="S271" s="386"/>
      <c r="T271" s="386"/>
      <c r="U271" s="387">
        <f>T271-S271</f>
        <v>0</v>
      </c>
      <c r="V271" s="388"/>
      <c r="W271" s="388"/>
      <c r="X271" s="389"/>
    </row>
    <row r="272" spans="1:24" s="8" customFormat="1" ht="15" customHeight="1">
      <c r="A272" s="103" t="s">
        <v>512</v>
      </c>
      <c r="B272" s="32" t="s">
        <v>289</v>
      </c>
      <c r="C272" s="177"/>
      <c r="D272" s="386">
        <f>7572.653+400-400</f>
        <v>7572.653</v>
      </c>
      <c r="E272" s="386">
        <f>7572.653+400-400</f>
        <v>7572.653</v>
      </c>
      <c r="F272" s="387">
        <f>E272-D272</f>
        <v>0</v>
      </c>
      <c r="G272" s="386"/>
      <c r="H272" s="386"/>
      <c r="I272" s="387">
        <f>H272-G272</f>
        <v>0</v>
      </c>
      <c r="J272" s="388"/>
      <c r="K272" s="388"/>
      <c r="L272" s="389"/>
      <c r="M272" s="386"/>
      <c r="N272" s="386"/>
      <c r="O272" s="387">
        <f>N272-M272</f>
        <v>0</v>
      </c>
      <c r="P272" s="388"/>
      <c r="Q272" s="388"/>
      <c r="R272" s="389"/>
      <c r="S272" s="386"/>
      <c r="T272" s="386"/>
      <c r="U272" s="387">
        <f>T272-S272</f>
        <v>0</v>
      </c>
      <c r="V272" s="388"/>
      <c r="W272" s="388"/>
      <c r="X272" s="389"/>
    </row>
    <row r="273" spans="1:24" s="8" customFormat="1" ht="15" customHeight="1">
      <c r="A273" s="103" t="s">
        <v>513</v>
      </c>
      <c r="B273" s="32" t="s">
        <v>291</v>
      </c>
      <c r="C273" s="177"/>
      <c r="D273" s="386">
        <f>13818.9</f>
        <v>13818.9</v>
      </c>
      <c r="E273" s="386">
        <f>13818.9</f>
        <v>13818.9</v>
      </c>
      <c r="F273" s="387">
        <f>E273-D273</f>
        <v>0</v>
      </c>
      <c r="G273" s="386"/>
      <c r="H273" s="386"/>
      <c r="I273" s="387">
        <f>H273-G273</f>
        <v>0</v>
      </c>
      <c r="J273" s="388"/>
      <c r="K273" s="388"/>
      <c r="L273" s="389"/>
      <c r="M273" s="386"/>
      <c r="N273" s="386"/>
      <c r="O273" s="387">
        <f>N273-M273</f>
        <v>0</v>
      </c>
      <c r="P273" s="388"/>
      <c r="Q273" s="388"/>
      <c r="R273" s="389"/>
      <c r="S273" s="386"/>
      <c r="T273" s="386"/>
      <c r="U273" s="387">
        <f>T273-S273</f>
        <v>0</v>
      </c>
      <c r="V273" s="388"/>
      <c r="W273" s="388"/>
      <c r="X273" s="389"/>
    </row>
    <row r="274" spans="1:24" s="8" customFormat="1" ht="15" customHeight="1">
      <c r="A274" s="103"/>
      <c r="B274" s="32" t="s">
        <v>301</v>
      </c>
      <c r="C274" s="177"/>
      <c r="D274" s="386"/>
      <c r="E274" s="386"/>
      <c r="F274" s="390"/>
      <c r="G274" s="386"/>
      <c r="H274" s="386"/>
      <c r="I274" s="390"/>
      <c r="J274" s="388"/>
      <c r="K274" s="388"/>
      <c r="L274" s="391"/>
      <c r="M274" s="386"/>
      <c r="N274" s="386"/>
      <c r="O274" s="390"/>
      <c r="P274" s="388"/>
      <c r="Q274" s="388"/>
      <c r="R274" s="391"/>
      <c r="S274" s="386"/>
      <c r="T274" s="386"/>
      <c r="U274" s="390"/>
      <c r="V274" s="388"/>
      <c r="W274" s="388"/>
      <c r="X274" s="391"/>
    </row>
    <row r="275" spans="1:24" s="8" customFormat="1" ht="15" customHeight="1">
      <c r="A275" s="103" t="s">
        <v>514</v>
      </c>
      <c r="B275" s="32" t="s">
        <v>310</v>
      </c>
      <c r="C275" s="177"/>
      <c r="D275" s="386">
        <f aca="true" t="shared" si="109" ref="D275:I275">SUM(D271:D273)</f>
        <v>21791.553</v>
      </c>
      <c r="E275" s="386">
        <f t="shared" si="109"/>
        <v>21791.553</v>
      </c>
      <c r="F275" s="390">
        <f t="shared" si="109"/>
        <v>0</v>
      </c>
      <c r="G275" s="386">
        <f t="shared" si="109"/>
        <v>0</v>
      </c>
      <c r="H275" s="386">
        <f t="shared" si="109"/>
        <v>0</v>
      </c>
      <c r="I275" s="390">
        <f t="shared" si="109"/>
        <v>0</v>
      </c>
      <c r="J275" s="388"/>
      <c r="K275" s="388"/>
      <c r="L275" s="391"/>
      <c r="M275" s="386">
        <f>SUM(M271:M273)</f>
        <v>0</v>
      </c>
      <c r="N275" s="386">
        <f>SUM(N271:N273)</f>
        <v>0</v>
      </c>
      <c r="O275" s="390">
        <f>SUM(O271:O273)</f>
        <v>0</v>
      </c>
      <c r="P275" s="388"/>
      <c r="Q275" s="388"/>
      <c r="R275" s="391"/>
      <c r="S275" s="386">
        <f>SUM(S271:S273)</f>
        <v>0</v>
      </c>
      <c r="T275" s="386">
        <f>SUM(T271:T273)</f>
        <v>0</v>
      </c>
      <c r="U275" s="390">
        <f>SUM(U271:U273)</f>
        <v>0</v>
      </c>
      <c r="V275" s="388"/>
      <c r="W275" s="388"/>
      <c r="X275" s="391"/>
    </row>
    <row r="276" spans="1:24" s="8" customFormat="1" ht="15" customHeight="1">
      <c r="A276" s="103"/>
      <c r="B276" s="32"/>
      <c r="C276" s="177"/>
      <c r="D276" s="386"/>
      <c r="E276" s="386"/>
      <c r="F276" s="390"/>
      <c r="G276" s="386"/>
      <c r="H276" s="386"/>
      <c r="I276" s="390"/>
      <c r="J276" s="388"/>
      <c r="K276" s="388"/>
      <c r="L276" s="391"/>
      <c r="M276" s="386"/>
      <c r="N276" s="386"/>
      <c r="O276" s="390"/>
      <c r="P276" s="388"/>
      <c r="Q276" s="388"/>
      <c r="R276" s="391"/>
      <c r="S276" s="386"/>
      <c r="T276" s="386"/>
      <c r="U276" s="390"/>
      <c r="V276" s="388"/>
      <c r="W276" s="388"/>
      <c r="X276" s="391"/>
    </row>
    <row r="277" spans="1:24" s="8" customFormat="1" ht="97.5" customHeight="1">
      <c r="A277" s="103" t="s">
        <v>515</v>
      </c>
      <c r="B277" s="46" t="s">
        <v>9</v>
      </c>
      <c r="C277" s="188" t="s">
        <v>37</v>
      </c>
      <c r="D277" s="392">
        <f aca="true" t="shared" si="110" ref="D277:I277">SUM(D278:D279)</f>
        <v>4400</v>
      </c>
      <c r="E277" s="392">
        <f t="shared" si="110"/>
        <v>4675</v>
      </c>
      <c r="F277" s="204">
        <f t="shared" si="110"/>
        <v>275</v>
      </c>
      <c r="G277" s="392">
        <f>SUM(G278:G279)</f>
        <v>1100</v>
      </c>
      <c r="H277" s="392">
        <f t="shared" si="110"/>
        <v>1375</v>
      </c>
      <c r="I277" s="204">
        <f t="shared" si="110"/>
        <v>275</v>
      </c>
      <c r="J277" s="379" t="s">
        <v>206</v>
      </c>
      <c r="K277" s="379" t="s">
        <v>206</v>
      </c>
      <c r="L277" s="203" t="s">
        <v>154</v>
      </c>
      <c r="M277" s="392">
        <f>SUM(M278:M279)</f>
        <v>0</v>
      </c>
      <c r="N277" s="392">
        <f>SUM(N278:N279)</f>
        <v>0</v>
      </c>
      <c r="O277" s="204">
        <f>SUM(O278:O279)</f>
        <v>0</v>
      </c>
      <c r="P277" s="379"/>
      <c r="Q277" s="379"/>
      <c r="R277" s="203"/>
      <c r="S277" s="392">
        <f>SUM(S278:S279)</f>
        <v>0</v>
      </c>
      <c r="T277" s="392">
        <f>SUM(T278:T279)</f>
        <v>0</v>
      </c>
      <c r="U277" s="204">
        <f>SUM(U278:U279)</f>
        <v>0</v>
      </c>
      <c r="V277" s="379"/>
      <c r="W277" s="379"/>
      <c r="X277" s="203"/>
    </row>
    <row r="278" spans="1:24" s="8" customFormat="1" ht="15" customHeight="1">
      <c r="A278" s="103" t="s">
        <v>516</v>
      </c>
      <c r="B278" s="32" t="s">
        <v>289</v>
      </c>
      <c r="C278" s="177"/>
      <c r="D278" s="386">
        <v>2900</v>
      </c>
      <c r="E278" s="386">
        <v>3175</v>
      </c>
      <c r="F278" s="387">
        <f>E278-D278</f>
        <v>275</v>
      </c>
      <c r="G278" s="386">
        <v>1100</v>
      </c>
      <c r="H278" s="386">
        <v>1375</v>
      </c>
      <c r="I278" s="387">
        <f>H278-G278</f>
        <v>275</v>
      </c>
      <c r="J278" s="388"/>
      <c r="K278" s="388"/>
      <c r="L278" s="389"/>
      <c r="M278" s="386"/>
      <c r="N278" s="386"/>
      <c r="O278" s="387">
        <f>N278-M278</f>
        <v>0</v>
      </c>
      <c r="P278" s="388"/>
      <c r="Q278" s="388"/>
      <c r="R278" s="389"/>
      <c r="S278" s="386"/>
      <c r="T278" s="386"/>
      <c r="U278" s="387">
        <f>T278-S278</f>
        <v>0</v>
      </c>
      <c r="V278" s="388"/>
      <c r="W278" s="388"/>
      <c r="X278" s="389"/>
    </row>
    <row r="279" spans="1:24" s="8" customFormat="1" ht="15" customHeight="1">
      <c r="A279" s="103" t="s">
        <v>517</v>
      </c>
      <c r="B279" s="32" t="s">
        <v>291</v>
      </c>
      <c r="C279" s="177"/>
      <c r="D279" s="386">
        <v>1500</v>
      </c>
      <c r="E279" s="386">
        <v>1500</v>
      </c>
      <c r="F279" s="387">
        <f>E279-D279</f>
        <v>0</v>
      </c>
      <c r="G279" s="386"/>
      <c r="H279" s="386"/>
      <c r="I279" s="387">
        <f>H279-G279</f>
        <v>0</v>
      </c>
      <c r="J279" s="388"/>
      <c r="K279" s="388"/>
      <c r="L279" s="389"/>
      <c r="M279" s="386"/>
      <c r="N279" s="386"/>
      <c r="O279" s="387">
        <f>N279-M279</f>
        <v>0</v>
      </c>
      <c r="P279" s="388"/>
      <c r="Q279" s="388"/>
      <c r="R279" s="389"/>
      <c r="S279" s="386"/>
      <c r="T279" s="386"/>
      <c r="U279" s="387">
        <f>T279-S279</f>
        <v>0</v>
      </c>
      <c r="V279" s="388"/>
      <c r="W279" s="388"/>
      <c r="X279" s="389"/>
    </row>
    <row r="280" spans="1:24" s="8" customFormat="1" ht="15" customHeight="1">
      <c r="A280" s="103"/>
      <c r="B280" s="32" t="s">
        <v>301</v>
      </c>
      <c r="C280" s="177"/>
      <c r="D280" s="386"/>
      <c r="E280" s="386"/>
      <c r="F280" s="390"/>
      <c r="G280" s="386"/>
      <c r="H280" s="386"/>
      <c r="I280" s="390"/>
      <c r="J280" s="388"/>
      <c r="K280" s="388"/>
      <c r="L280" s="391"/>
      <c r="M280" s="386"/>
      <c r="N280" s="386"/>
      <c r="O280" s="390"/>
      <c r="P280" s="388"/>
      <c r="Q280" s="388"/>
      <c r="R280" s="391"/>
      <c r="S280" s="386"/>
      <c r="T280" s="386"/>
      <c r="U280" s="390"/>
      <c r="V280" s="388"/>
      <c r="W280" s="388"/>
      <c r="X280" s="391"/>
    </row>
    <row r="281" spans="1:24" s="8" customFormat="1" ht="15" customHeight="1">
      <c r="A281" s="103" t="s">
        <v>518</v>
      </c>
      <c r="B281" s="32" t="s">
        <v>352</v>
      </c>
      <c r="C281" s="177"/>
      <c r="D281" s="386">
        <v>3300</v>
      </c>
      <c r="E281" s="386">
        <v>3300</v>
      </c>
      <c r="F281" s="390">
        <f>SUM(F278:F279)</f>
        <v>275</v>
      </c>
      <c r="G281" s="386"/>
      <c r="H281" s="386"/>
      <c r="I281" s="390">
        <f>SUM(I278:I279)</f>
        <v>275</v>
      </c>
      <c r="J281" s="388"/>
      <c r="K281" s="388"/>
      <c r="L281" s="391"/>
      <c r="M281" s="386"/>
      <c r="N281" s="386"/>
      <c r="O281" s="390">
        <f>SUM(O278:O279)</f>
        <v>0</v>
      </c>
      <c r="P281" s="388"/>
      <c r="Q281" s="388"/>
      <c r="R281" s="391"/>
      <c r="S281" s="386"/>
      <c r="T281" s="386"/>
      <c r="U281" s="390">
        <f>SUM(U278:U279)</f>
        <v>0</v>
      </c>
      <c r="V281" s="388"/>
      <c r="W281" s="388"/>
      <c r="X281" s="391"/>
    </row>
    <row r="282" spans="1:24" s="8" customFormat="1" ht="15" customHeight="1">
      <c r="A282" s="103" t="s">
        <v>519</v>
      </c>
      <c r="B282" s="32" t="s">
        <v>351</v>
      </c>
      <c r="C282" s="177"/>
      <c r="D282" s="386">
        <v>1100</v>
      </c>
      <c r="E282" s="386">
        <v>1100</v>
      </c>
      <c r="F282" s="390">
        <f>SUM(F279:F280)</f>
        <v>0</v>
      </c>
      <c r="G282" s="386">
        <f>SUM(G278:G279)</f>
        <v>1100</v>
      </c>
      <c r="H282" s="386">
        <f>SUM(H278:H279)</f>
        <v>1375</v>
      </c>
      <c r="I282" s="390">
        <f>SUM(I279:I280)</f>
        <v>0</v>
      </c>
      <c r="J282" s="388"/>
      <c r="K282" s="388"/>
      <c r="L282" s="391"/>
      <c r="M282" s="386">
        <f>SUM(M278:M279)</f>
        <v>0</v>
      </c>
      <c r="N282" s="386">
        <f>SUM(N278:N279)</f>
        <v>0</v>
      </c>
      <c r="O282" s="390">
        <f>SUM(O279:O280)</f>
        <v>0</v>
      </c>
      <c r="P282" s="388"/>
      <c r="Q282" s="388"/>
      <c r="R282" s="391"/>
      <c r="S282" s="386">
        <f>SUM(S278:S279)</f>
        <v>0</v>
      </c>
      <c r="T282" s="386">
        <f>SUM(T278:T279)</f>
        <v>0</v>
      </c>
      <c r="U282" s="390">
        <f>SUM(U279:U280)</f>
        <v>0</v>
      </c>
      <c r="V282" s="388"/>
      <c r="W282" s="388"/>
      <c r="X282" s="391"/>
    </row>
    <row r="283" spans="1:24" s="8" customFormat="1" ht="15" customHeight="1">
      <c r="A283" s="103"/>
      <c r="B283" s="32"/>
      <c r="C283" s="177"/>
      <c r="D283" s="386"/>
      <c r="E283" s="386"/>
      <c r="F283" s="390"/>
      <c r="G283" s="386"/>
      <c r="H283" s="386"/>
      <c r="I283" s="390"/>
      <c r="J283" s="388"/>
      <c r="K283" s="388"/>
      <c r="L283" s="391"/>
      <c r="M283" s="386"/>
      <c r="N283" s="386"/>
      <c r="O283" s="390"/>
      <c r="P283" s="388"/>
      <c r="Q283" s="388"/>
      <c r="R283" s="391"/>
      <c r="S283" s="386"/>
      <c r="T283" s="386"/>
      <c r="U283" s="390"/>
      <c r="V283" s="388"/>
      <c r="W283" s="388"/>
      <c r="X283" s="391"/>
    </row>
    <row r="284" spans="1:24" s="8" customFormat="1" ht="149.25" customHeight="1">
      <c r="A284" s="103" t="s">
        <v>520</v>
      </c>
      <c r="B284" s="46" t="s">
        <v>42</v>
      </c>
      <c r="C284" s="188" t="s">
        <v>84</v>
      </c>
      <c r="D284" s="392">
        <f aca="true" t="shared" si="111" ref="D284:I284">SUM(D285:D287)</f>
        <v>3996.2999999999997</v>
      </c>
      <c r="E284" s="392">
        <f t="shared" si="111"/>
        <v>3996.2999999999997</v>
      </c>
      <c r="F284" s="204">
        <f t="shared" si="111"/>
        <v>0</v>
      </c>
      <c r="G284" s="392">
        <f t="shared" si="111"/>
        <v>0</v>
      </c>
      <c r="H284" s="392">
        <f t="shared" si="111"/>
        <v>0</v>
      </c>
      <c r="I284" s="204">
        <f t="shared" si="111"/>
        <v>0</v>
      </c>
      <c r="J284" s="379"/>
      <c r="K284" s="379"/>
      <c r="L284" s="203"/>
      <c r="M284" s="392">
        <f>SUM(M285:M287)</f>
        <v>0</v>
      </c>
      <c r="N284" s="392">
        <f>SUM(N285:N287)</f>
        <v>0</v>
      </c>
      <c r="O284" s="204">
        <f>SUM(O285:O287)</f>
        <v>0</v>
      </c>
      <c r="P284" s="379"/>
      <c r="Q284" s="379"/>
      <c r="R284" s="203"/>
      <c r="S284" s="392">
        <f>SUM(S285:S287)</f>
        <v>0</v>
      </c>
      <c r="T284" s="392">
        <f>SUM(T285:T287)</f>
        <v>0</v>
      </c>
      <c r="U284" s="204">
        <f>SUM(U285:U287)</f>
        <v>0</v>
      </c>
      <c r="V284" s="379"/>
      <c r="W284" s="379"/>
      <c r="X284" s="203"/>
    </row>
    <row r="285" spans="1:24" s="8" customFormat="1" ht="15" customHeight="1">
      <c r="A285" s="103" t="s">
        <v>521</v>
      </c>
      <c r="B285" s="32" t="s">
        <v>289</v>
      </c>
      <c r="C285" s="177"/>
      <c r="D285" s="386">
        <v>84.6</v>
      </c>
      <c r="E285" s="386">
        <v>84.6</v>
      </c>
      <c r="F285" s="387">
        <f>E285-D285</f>
        <v>0</v>
      </c>
      <c r="G285" s="386"/>
      <c r="H285" s="386"/>
      <c r="I285" s="387">
        <f>H285-G285</f>
        <v>0</v>
      </c>
      <c r="J285" s="388"/>
      <c r="K285" s="388"/>
      <c r="L285" s="389"/>
      <c r="M285" s="386"/>
      <c r="N285" s="386"/>
      <c r="O285" s="387">
        <f>N285-M285</f>
        <v>0</v>
      </c>
      <c r="P285" s="388"/>
      <c r="Q285" s="388"/>
      <c r="R285" s="389"/>
      <c r="S285" s="386"/>
      <c r="T285" s="386"/>
      <c r="U285" s="387">
        <f>T285-S285</f>
        <v>0</v>
      </c>
      <c r="V285" s="388"/>
      <c r="W285" s="388"/>
      <c r="X285" s="389"/>
    </row>
    <row r="286" spans="1:24" s="8" customFormat="1" ht="15" customHeight="1">
      <c r="A286" s="103" t="s">
        <v>522</v>
      </c>
      <c r="B286" s="32" t="s">
        <v>291</v>
      </c>
      <c r="C286" s="177"/>
      <c r="D286" s="386"/>
      <c r="E286" s="386"/>
      <c r="F286" s="387"/>
      <c r="G286" s="386"/>
      <c r="H286" s="386"/>
      <c r="I286" s="387"/>
      <c r="J286" s="388"/>
      <c r="K286" s="388"/>
      <c r="L286" s="389"/>
      <c r="M286" s="386"/>
      <c r="N286" s="386"/>
      <c r="O286" s="387"/>
      <c r="P286" s="388"/>
      <c r="Q286" s="388"/>
      <c r="R286" s="389"/>
      <c r="S286" s="386"/>
      <c r="T286" s="386"/>
      <c r="U286" s="387"/>
      <c r="V286" s="388"/>
      <c r="W286" s="388"/>
      <c r="X286" s="389"/>
    </row>
    <row r="287" spans="1:24" s="8" customFormat="1" ht="15" customHeight="1">
      <c r="A287" s="103" t="s">
        <v>523</v>
      </c>
      <c r="B287" s="32" t="s">
        <v>290</v>
      </c>
      <c r="C287" s="177"/>
      <c r="D287" s="386">
        <v>3911.7</v>
      </c>
      <c r="E287" s="398">
        <f>D287-C287</f>
        <v>3911.7</v>
      </c>
      <c r="F287" s="387">
        <f>E287-D287</f>
        <v>0</v>
      </c>
      <c r="G287" s="386"/>
      <c r="H287" s="386"/>
      <c r="I287" s="387">
        <f>H287-G287</f>
        <v>0</v>
      </c>
      <c r="J287" s="388"/>
      <c r="K287" s="388"/>
      <c r="L287" s="389"/>
      <c r="M287" s="386"/>
      <c r="N287" s="386"/>
      <c r="O287" s="387">
        <f>N287-M287</f>
        <v>0</v>
      </c>
      <c r="P287" s="388"/>
      <c r="Q287" s="388"/>
      <c r="R287" s="389"/>
      <c r="S287" s="386"/>
      <c r="T287" s="386"/>
      <c r="U287" s="387">
        <f>T287-S287</f>
        <v>0</v>
      </c>
      <c r="V287" s="388"/>
      <c r="W287" s="388"/>
      <c r="X287" s="389"/>
    </row>
    <row r="288" spans="1:24" s="8" customFormat="1" ht="15" customHeight="1">
      <c r="A288" s="103"/>
      <c r="B288" s="32" t="s">
        <v>301</v>
      </c>
      <c r="C288" s="177"/>
      <c r="D288" s="386"/>
      <c r="E288" s="386"/>
      <c r="F288" s="390"/>
      <c r="G288" s="386"/>
      <c r="H288" s="386"/>
      <c r="I288" s="390"/>
      <c r="J288" s="388"/>
      <c r="K288" s="388"/>
      <c r="L288" s="391"/>
      <c r="M288" s="386"/>
      <c r="N288" s="386"/>
      <c r="O288" s="390"/>
      <c r="P288" s="388"/>
      <c r="Q288" s="388"/>
      <c r="R288" s="391"/>
      <c r="S288" s="386"/>
      <c r="T288" s="386"/>
      <c r="U288" s="390"/>
      <c r="V288" s="388"/>
      <c r="W288" s="388"/>
      <c r="X288" s="391"/>
    </row>
    <row r="289" spans="1:24" s="8" customFormat="1" ht="15" customHeight="1">
      <c r="A289" s="103" t="s">
        <v>524</v>
      </c>
      <c r="B289" s="32" t="s">
        <v>351</v>
      </c>
      <c r="C289" s="177"/>
      <c r="D289" s="386">
        <f aca="true" t="shared" si="112" ref="D289:I289">SUM(D285:D287)</f>
        <v>3996.2999999999997</v>
      </c>
      <c r="E289" s="386">
        <f t="shared" si="112"/>
        <v>3996.2999999999997</v>
      </c>
      <c r="F289" s="390">
        <f t="shared" si="112"/>
        <v>0</v>
      </c>
      <c r="G289" s="386">
        <f t="shared" si="112"/>
        <v>0</v>
      </c>
      <c r="H289" s="386">
        <f t="shared" si="112"/>
        <v>0</v>
      </c>
      <c r="I289" s="390">
        <f t="shared" si="112"/>
        <v>0</v>
      </c>
      <c r="J289" s="388"/>
      <c r="K289" s="388"/>
      <c r="L289" s="391"/>
      <c r="M289" s="386">
        <f>SUM(M285:M287)</f>
        <v>0</v>
      </c>
      <c r="N289" s="386">
        <f>SUM(N285:N287)</f>
        <v>0</v>
      </c>
      <c r="O289" s="390">
        <f>SUM(O285:O287)</f>
        <v>0</v>
      </c>
      <c r="P289" s="388"/>
      <c r="Q289" s="388"/>
      <c r="R289" s="391"/>
      <c r="S289" s="386">
        <f>SUM(S285:S287)</f>
        <v>0</v>
      </c>
      <c r="T289" s="386">
        <f>SUM(T285:T287)</f>
        <v>0</v>
      </c>
      <c r="U289" s="390">
        <f>SUM(U285:U287)</f>
        <v>0</v>
      </c>
      <c r="V289" s="388"/>
      <c r="W289" s="388"/>
      <c r="X289" s="391"/>
    </row>
    <row r="290" spans="1:24" s="8" customFormat="1" ht="15" customHeight="1">
      <c r="A290" s="103"/>
      <c r="B290" s="32"/>
      <c r="C290" s="178"/>
      <c r="D290" s="386"/>
      <c r="E290" s="386"/>
      <c r="F290" s="390"/>
      <c r="G290" s="386"/>
      <c r="H290" s="386"/>
      <c r="I290" s="390"/>
      <c r="J290" s="388"/>
      <c r="K290" s="388"/>
      <c r="L290" s="391"/>
      <c r="M290" s="297"/>
      <c r="N290" s="298"/>
      <c r="O290" s="205"/>
      <c r="P290" s="262"/>
      <c r="Q290" s="260"/>
      <c r="R290" s="124"/>
      <c r="S290" s="297"/>
      <c r="T290" s="298"/>
      <c r="U290" s="205"/>
      <c r="V290" s="262"/>
      <c r="W290" s="260"/>
      <c r="X290" s="124"/>
    </row>
    <row r="291" spans="1:24" s="7" customFormat="1" ht="15" customHeight="1">
      <c r="A291" s="165"/>
      <c r="B291" s="230"/>
      <c r="C291" s="231"/>
      <c r="D291" s="429" t="s">
        <v>283</v>
      </c>
      <c r="E291" s="430"/>
      <c r="F291" s="430"/>
      <c r="G291" s="430"/>
      <c r="H291" s="430"/>
      <c r="I291" s="430"/>
      <c r="J291" s="430"/>
      <c r="K291" s="430"/>
      <c r="L291" s="431"/>
      <c r="M291" s="429" t="s">
        <v>283</v>
      </c>
      <c r="N291" s="430"/>
      <c r="O291" s="430"/>
      <c r="P291" s="430"/>
      <c r="Q291" s="430"/>
      <c r="R291" s="430"/>
      <c r="S291" s="430"/>
      <c r="T291" s="430"/>
      <c r="U291" s="430"/>
      <c r="V291" s="430"/>
      <c r="W291" s="430"/>
      <c r="X291" s="430"/>
    </row>
    <row r="292" spans="1:24" s="8" customFormat="1" ht="15.75">
      <c r="A292" s="103" t="s">
        <v>525</v>
      </c>
      <c r="B292" s="43" t="s">
        <v>320</v>
      </c>
      <c r="C292" s="176"/>
      <c r="D292" s="360">
        <f aca="true" t="shared" si="113" ref="D292:I292">SUM(D293:D294)</f>
        <v>94369.284</v>
      </c>
      <c r="E292" s="360">
        <f t="shared" si="113"/>
        <v>94369.284</v>
      </c>
      <c r="F292" s="308">
        <f t="shared" si="113"/>
        <v>0</v>
      </c>
      <c r="G292" s="360">
        <f t="shared" si="113"/>
        <v>15050</v>
      </c>
      <c r="H292" s="360">
        <f t="shared" si="113"/>
        <v>10050</v>
      </c>
      <c r="I292" s="308">
        <f t="shared" si="113"/>
        <v>-5000</v>
      </c>
      <c r="J292" s="266"/>
      <c r="K292" s="280"/>
      <c r="L292" s="115"/>
      <c r="M292" s="360">
        <f>SUM(M293:M294)</f>
        <v>20300</v>
      </c>
      <c r="N292" s="360">
        <f>SUM(N293:N294)</f>
        <v>15300</v>
      </c>
      <c r="O292" s="308">
        <f>SUM(O293:O294)</f>
        <v>-5000</v>
      </c>
      <c r="P292" s="361"/>
      <c r="Q292" s="361"/>
      <c r="R292" s="115"/>
      <c r="S292" s="360">
        <f>SUM(S293:S294)</f>
        <v>16450</v>
      </c>
      <c r="T292" s="360">
        <f>SUM(T293:T294)</f>
        <v>15200</v>
      </c>
      <c r="U292" s="308">
        <f>SUM(U293:U294)</f>
        <v>-1250</v>
      </c>
      <c r="V292" s="361"/>
      <c r="W292" s="361"/>
      <c r="X292" s="115"/>
    </row>
    <row r="293" spans="1:24" s="8" customFormat="1" ht="15" customHeight="1">
      <c r="A293" s="103" t="s">
        <v>526</v>
      </c>
      <c r="B293" s="10" t="s">
        <v>289</v>
      </c>
      <c r="C293" s="176"/>
      <c r="D293" s="358">
        <f aca="true" t="shared" si="114" ref="D293:I293">SUM(D298+D312)</f>
        <v>94369.284</v>
      </c>
      <c r="E293" s="358">
        <f t="shared" si="114"/>
        <v>94369.284</v>
      </c>
      <c r="F293" s="299">
        <f t="shared" si="114"/>
        <v>0</v>
      </c>
      <c r="G293" s="358">
        <f t="shared" si="114"/>
        <v>15050</v>
      </c>
      <c r="H293" s="352">
        <f t="shared" si="114"/>
        <v>10050</v>
      </c>
      <c r="I293" s="299">
        <f t="shared" si="114"/>
        <v>-5000</v>
      </c>
      <c r="J293" s="265"/>
      <c r="K293" s="279"/>
      <c r="L293" s="111"/>
      <c r="M293" s="358">
        <f>SUM(M298+M312)</f>
        <v>20300</v>
      </c>
      <c r="N293" s="352">
        <f>SUM(N298+N312)</f>
        <v>15300</v>
      </c>
      <c r="O293" s="299">
        <f>SUM(O298+O312)</f>
        <v>-5000</v>
      </c>
      <c r="P293" s="359"/>
      <c r="Q293" s="359"/>
      <c r="R293" s="111"/>
      <c r="S293" s="358">
        <f>SUM(S298+S312)</f>
        <v>16450</v>
      </c>
      <c r="T293" s="352">
        <f>SUM(T298+T312)</f>
        <v>15200</v>
      </c>
      <c r="U293" s="299">
        <f>SUM(U298+U312)</f>
        <v>-1250</v>
      </c>
      <c r="V293" s="359"/>
      <c r="W293" s="359"/>
      <c r="X293" s="111"/>
    </row>
    <row r="294" spans="1:24" s="8" customFormat="1" ht="15" customHeight="1">
      <c r="A294" s="103" t="s">
        <v>527</v>
      </c>
      <c r="B294" s="10" t="s">
        <v>291</v>
      </c>
      <c r="C294" s="176"/>
      <c r="D294" s="358">
        <f aca="true" t="shared" si="115" ref="D294:I294">SUM(D299)</f>
        <v>0</v>
      </c>
      <c r="E294" s="358">
        <f t="shared" si="115"/>
        <v>0</v>
      </c>
      <c r="F294" s="304">
        <f t="shared" si="115"/>
        <v>0</v>
      </c>
      <c r="G294" s="358">
        <f t="shared" si="115"/>
        <v>0</v>
      </c>
      <c r="H294" s="358">
        <f t="shared" si="115"/>
        <v>0</v>
      </c>
      <c r="I294" s="304">
        <f t="shared" si="115"/>
        <v>0</v>
      </c>
      <c r="J294" s="265"/>
      <c r="K294" s="279"/>
      <c r="L294" s="116"/>
      <c r="M294" s="358">
        <f>SUM(M299)</f>
        <v>0</v>
      </c>
      <c r="N294" s="358">
        <f>SUM(N299)</f>
        <v>0</v>
      </c>
      <c r="O294" s="304">
        <f>SUM(O299)</f>
        <v>0</v>
      </c>
      <c r="P294" s="359"/>
      <c r="Q294" s="359"/>
      <c r="R294" s="116"/>
      <c r="S294" s="358">
        <f>SUM(S299)</f>
        <v>0</v>
      </c>
      <c r="T294" s="358">
        <f>SUM(T299)</f>
        <v>0</v>
      </c>
      <c r="U294" s="304">
        <f>SUM(U299)</f>
        <v>0</v>
      </c>
      <c r="V294" s="359"/>
      <c r="W294" s="359"/>
      <c r="X294" s="116"/>
    </row>
    <row r="295" spans="1:24" s="8" customFormat="1" ht="15" customHeight="1">
      <c r="A295" s="104"/>
      <c r="B295" s="5"/>
      <c r="C295" s="156"/>
      <c r="D295" s="408"/>
      <c r="E295" s="408"/>
      <c r="F295" s="326"/>
      <c r="G295" s="408"/>
      <c r="H295" s="408"/>
      <c r="I295" s="326"/>
      <c r="J295" s="275"/>
      <c r="K295" s="288"/>
      <c r="L295" s="156"/>
      <c r="M295" s="408"/>
      <c r="N295" s="408"/>
      <c r="O295" s="326"/>
      <c r="P295" s="409"/>
      <c r="Q295" s="409"/>
      <c r="R295" s="156"/>
      <c r="S295" s="408"/>
      <c r="T295" s="408"/>
      <c r="U295" s="326"/>
      <c r="V295" s="409"/>
      <c r="W295" s="409"/>
      <c r="X295" s="156"/>
    </row>
    <row r="296" spans="1:24" s="8" customFormat="1" ht="15" customHeight="1">
      <c r="A296" s="166"/>
      <c r="B296" s="232"/>
      <c r="C296" s="233"/>
      <c r="D296" s="432" t="s">
        <v>293</v>
      </c>
      <c r="E296" s="433"/>
      <c r="F296" s="433"/>
      <c r="G296" s="433"/>
      <c r="H296" s="433"/>
      <c r="I296" s="433"/>
      <c r="J296" s="433"/>
      <c r="K296" s="433"/>
      <c r="L296" s="434"/>
      <c r="M296" s="432" t="s">
        <v>293</v>
      </c>
      <c r="N296" s="433"/>
      <c r="O296" s="433"/>
      <c r="P296" s="433"/>
      <c r="Q296" s="433"/>
      <c r="R296" s="433"/>
      <c r="S296" s="433"/>
      <c r="T296" s="433"/>
      <c r="U296" s="433"/>
      <c r="V296" s="433"/>
      <c r="W296" s="433"/>
      <c r="X296" s="433"/>
    </row>
    <row r="297" spans="1:24" s="8" customFormat="1" ht="34.5" customHeight="1">
      <c r="A297" s="103" t="s">
        <v>528</v>
      </c>
      <c r="B297" s="43" t="s">
        <v>316</v>
      </c>
      <c r="C297" s="176"/>
      <c r="D297" s="392">
        <f aca="true" t="shared" si="116" ref="D297:I297">SUM(D298:D299)</f>
        <v>93606.732</v>
      </c>
      <c r="E297" s="392">
        <f t="shared" si="116"/>
        <v>93606.732</v>
      </c>
      <c r="F297" s="204">
        <f t="shared" si="116"/>
        <v>0</v>
      </c>
      <c r="G297" s="392">
        <f t="shared" si="116"/>
        <v>15000</v>
      </c>
      <c r="H297" s="392">
        <f t="shared" si="116"/>
        <v>10000</v>
      </c>
      <c r="I297" s="204">
        <f t="shared" si="116"/>
        <v>-5000</v>
      </c>
      <c r="J297" s="393"/>
      <c r="K297" s="393"/>
      <c r="L297" s="114"/>
      <c r="M297" s="392">
        <f>SUM(M298:M299)</f>
        <v>20000</v>
      </c>
      <c r="N297" s="392">
        <f>SUM(N298:N299)</f>
        <v>15000</v>
      </c>
      <c r="O297" s="204">
        <f>SUM(O298:O299)</f>
        <v>-5000</v>
      </c>
      <c r="P297" s="393"/>
      <c r="Q297" s="393"/>
      <c r="R297" s="114"/>
      <c r="S297" s="392">
        <f>SUM(S298:S299)</f>
        <v>16250</v>
      </c>
      <c r="T297" s="392">
        <f>SUM(T298:T299)</f>
        <v>15000</v>
      </c>
      <c r="U297" s="204">
        <f>SUM(U298:U299)</f>
        <v>-1250</v>
      </c>
      <c r="V297" s="393"/>
      <c r="W297" s="393"/>
      <c r="X297" s="114"/>
    </row>
    <row r="298" spans="1:24" s="8" customFormat="1" ht="15" customHeight="1">
      <c r="A298" s="103" t="s">
        <v>529</v>
      </c>
      <c r="B298" s="10" t="s">
        <v>289</v>
      </c>
      <c r="C298" s="176"/>
      <c r="D298" s="352">
        <f>SUM(D303)</f>
        <v>93606.732</v>
      </c>
      <c r="E298" s="352">
        <f aca="true" t="shared" si="117" ref="E298:H299">SUM(E303)</f>
        <v>93606.732</v>
      </c>
      <c r="F298" s="299">
        <f t="shared" si="117"/>
        <v>0</v>
      </c>
      <c r="G298" s="352">
        <f t="shared" si="117"/>
        <v>15000</v>
      </c>
      <c r="H298" s="352">
        <f t="shared" si="117"/>
        <v>10000</v>
      </c>
      <c r="I298" s="299">
        <f>SUM(I303)</f>
        <v>-5000</v>
      </c>
      <c r="J298" s="353"/>
      <c r="K298" s="353"/>
      <c r="L298" s="111"/>
      <c r="M298" s="352">
        <f aca="true" t="shared" si="118" ref="M298:O299">SUM(M303)</f>
        <v>20000</v>
      </c>
      <c r="N298" s="352">
        <f t="shared" si="118"/>
        <v>15000</v>
      </c>
      <c r="O298" s="299">
        <f t="shared" si="118"/>
        <v>-5000</v>
      </c>
      <c r="P298" s="353"/>
      <c r="Q298" s="353"/>
      <c r="R298" s="111"/>
      <c r="S298" s="352">
        <f aca="true" t="shared" si="119" ref="S298:U299">SUM(S303)</f>
        <v>16250</v>
      </c>
      <c r="T298" s="352">
        <f t="shared" si="119"/>
        <v>15000</v>
      </c>
      <c r="U298" s="299">
        <f t="shared" si="119"/>
        <v>-1250</v>
      </c>
      <c r="V298" s="353"/>
      <c r="W298" s="353"/>
      <c r="X298" s="111"/>
    </row>
    <row r="299" spans="1:24" s="8" customFormat="1" ht="15" customHeight="1">
      <c r="A299" s="103" t="s">
        <v>530</v>
      </c>
      <c r="B299" s="10" t="s">
        <v>291</v>
      </c>
      <c r="C299" s="176"/>
      <c r="D299" s="358">
        <f>SUM(D304)</f>
        <v>0</v>
      </c>
      <c r="E299" s="358">
        <f t="shared" si="117"/>
        <v>0</v>
      </c>
      <c r="F299" s="304">
        <f t="shared" si="117"/>
        <v>0</v>
      </c>
      <c r="G299" s="358">
        <f t="shared" si="117"/>
        <v>0</v>
      </c>
      <c r="H299" s="358">
        <f t="shared" si="117"/>
        <v>0</v>
      </c>
      <c r="I299" s="304">
        <f>SUM(I304)</f>
        <v>0</v>
      </c>
      <c r="J299" s="359"/>
      <c r="K299" s="359"/>
      <c r="L299" s="116"/>
      <c r="M299" s="358">
        <f t="shared" si="118"/>
        <v>0</v>
      </c>
      <c r="N299" s="358">
        <f t="shared" si="118"/>
        <v>0</v>
      </c>
      <c r="O299" s="304">
        <f t="shared" si="118"/>
        <v>0</v>
      </c>
      <c r="P299" s="359"/>
      <c r="Q299" s="359"/>
      <c r="R299" s="116"/>
      <c r="S299" s="358">
        <f t="shared" si="119"/>
        <v>0</v>
      </c>
      <c r="T299" s="358">
        <f t="shared" si="119"/>
        <v>0</v>
      </c>
      <c r="U299" s="304">
        <f t="shared" si="119"/>
        <v>0</v>
      </c>
      <c r="V299" s="359"/>
      <c r="W299" s="359"/>
      <c r="X299" s="116"/>
    </row>
    <row r="300" spans="1:24" s="8" customFormat="1" ht="15" customHeight="1">
      <c r="A300" s="104"/>
      <c r="B300" s="9"/>
      <c r="C300" s="172"/>
      <c r="D300" s="358"/>
      <c r="E300" s="358"/>
      <c r="F300" s="304"/>
      <c r="G300" s="358"/>
      <c r="H300" s="358"/>
      <c r="I300" s="304"/>
      <c r="J300" s="359"/>
      <c r="K300" s="359"/>
      <c r="L300" s="116"/>
      <c r="M300" s="358"/>
      <c r="N300" s="358"/>
      <c r="O300" s="304"/>
      <c r="P300" s="359"/>
      <c r="Q300" s="359"/>
      <c r="R300" s="116"/>
      <c r="S300" s="358"/>
      <c r="T300" s="358"/>
      <c r="U300" s="304"/>
      <c r="V300" s="359"/>
      <c r="W300" s="359"/>
      <c r="X300" s="116"/>
    </row>
    <row r="301" spans="1:24" s="8" customFormat="1" ht="15" customHeight="1">
      <c r="A301" s="167"/>
      <c r="B301" s="234"/>
      <c r="C301" s="235"/>
      <c r="D301" s="420" t="s">
        <v>305</v>
      </c>
      <c r="E301" s="421"/>
      <c r="F301" s="421"/>
      <c r="G301" s="421"/>
      <c r="H301" s="421"/>
      <c r="I301" s="421"/>
      <c r="J301" s="421"/>
      <c r="K301" s="421"/>
      <c r="L301" s="422"/>
      <c r="M301" s="420" t="s">
        <v>305</v>
      </c>
      <c r="N301" s="421"/>
      <c r="O301" s="421"/>
      <c r="P301" s="421"/>
      <c r="Q301" s="421"/>
      <c r="R301" s="421"/>
      <c r="S301" s="421"/>
      <c r="T301" s="421"/>
      <c r="U301" s="421"/>
      <c r="V301" s="421"/>
      <c r="W301" s="421"/>
      <c r="X301" s="421"/>
    </row>
    <row r="302" spans="1:24" s="41" customFormat="1" ht="47.25">
      <c r="A302" s="99" t="s">
        <v>641</v>
      </c>
      <c r="B302" s="46" t="s">
        <v>586</v>
      </c>
      <c r="C302" s="177"/>
      <c r="D302" s="392">
        <f aca="true" t="shared" si="120" ref="D302:I302">SUM(D303:D304)</f>
        <v>93606.732</v>
      </c>
      <c r="E302" s="392">
        <f t="shared" si="120"/>
        <v>93606.732</v>
      </c>
      <c r="F302" s="204">
        <f t="shared" si="120"/>
        <v>0</v>
      </c>
      <c r="G302" s="392">
        <f t="shared" si="120"/>
        <v>15000</v>
      </c>
      <c r="H302" s="392">
        <f t="shared" si="120"/>
        <v>10000</v>
      </c>
      <c r="I302" s="204">
        <f t="shared" si="120"/>
        <v>-5000</v>
      </c>
      <c r="J302" s="393"/>
      <c r="K302" s="393"/>
      <c r="L302" s="114"/>
      <c r="M302" s="392">
        <f>SUM(M303:M304)</f>
        <v>20000</v>
      </c>
      <c r="N302" s="392">
        <f>SUM(N303:N304)</f>
        <v>15000</v>
      </c>
      <c r="O302" s="204">
        <f>SUM(O303:O304)</f>
        <v>-5000</v>
      </c>
      <c r="P302" s="393"/>
      <c r="Q302" s="393"/>
      <c r="R302" s="114"/>
      <c r="S302" s="392">
        <f>SUM(S303:S304)</f>
        <v>16250</v>
      </c>
      <c r="T302" s="392">
        <f>SUM(T303:T304)</f>
        <v>15000</v>
      </c>
      <c r="U302" s="204">
        <f>SUM(U303:U304)</f>
        <v>-1250</v>
      </c>
      <c r="V302" s="393"/>
      <c r="W302" s="393"/>
      <c r="X302" s="114"/>
    </row>
    <row r="303" spans="1:24" s="14" customFormat="1" ht="15" customHeight="1">
      <c r="A303" s="99" t="s">
        <v>531</v>
      </c>
      <c r="B303" s="10" t="s">
        <v>289</v>
      </c>
      <c r="C303" s="176"/>
      <c r="D303" s="352">
        <f>D307</f>
        <v>93606.732</v>
      </c>
      <c r="E303" s="352">
        <f aca="true" t="shared" si="121" ref="E303:H304">E307</f>
        <v>93606.732</v>
      </c>
      <c r="F303" s="299">
        <f t="shared" si="121"/>
        <v>0</v>
      </c>
      <c r="G303" s="352">
        <f t="shared" si="121"/>
        <v>15000</v>
      </c>
      <c r="H303" s="352">
        <f t="shared" si="121"/>
        <v>10000</v>
      </c>
      <c r="I303" s="299">
        <f>I307</f>
        <v>-5000</v>
      </c>
      <c r="J303" s="353"/>
      <c r="K303" s="353"/>
      <c r="L303" s="111"/>
      <c r="M303" s="352">
        <f aca="true" t="shared" si="122" ref="M303:O304">M307</f>
        <v>20000</v>
      </c>
      <c r="N303" s="352">
        <f t="shared" si="122"/>
        <v>15000</v>
      </c>
      <c r="O303" s="299">
        <f t="shared" si="122"/>
        <v>-5000</v>
      </c>
      <c r="P303" s="353"/>
      <c r="Q303" s="353"/>
      <c r="R303" s="111"/>
      <c r="S303" s="352">
        <f aca="true" t="shared" si="123" ref="S303:U304">S307</f>
        <v>16250</v>
      </c>
      <c r="T303" s="352">
        <f t="shared" si="123"/>
        <v>15000</v>
      </c>
      <c r="U303" s="299">
        <f t="shared" si="123"/>
        <v>-1250</v>
      </c>
      <c r="V303" s="353"/>
      <c r="W303" s="353"/>
      <c r="X303" s="111"/>
    </row>
    <row r="304" spans="1:24" s="8" customFormat="1" ht="15" customHeight="1">
      <c r="A304" s="99" t="s">
        <v>532</v>
      </c>
      <c r="B304" s="10" t="s">
        <v>291</v>
      </c>
      <c r="C304" s="176"/>
      <c r="D304" s="358">
        <f>D308</f>
        <v>0</v>
      </c>
      <c r="E304" s="358">
        <f t="shared" si="121"/>
        <v>0</v>
      </c>
      <c r="F304" s="304">
        <f t="shared" si="121"/>
        <v>0</v>
      </c>
      <c r="G304" s="358">
        <f t="shared" si="121"/>
        <v>0</v>
      </c>
      <c r="H304" s="358">
        <f t="shared" si="121"/>
        <v>0</v>
      </c>
      <c r="I304" s="304">
        <f>I308</f>
        <v>0</v>
      </c>
      <c r="J304" s="359"/>
      <c r="K304" s="359"/>
      <c r="L304" s="116"/>
      <c r="M304" s="358">
        <f t="shared" si="122"/>
        <v>0</v>
      </c>
      <c r="N304" s="358">
        <f t="shared" si="122"/>
        <v>0</v>
      </c>
      <c r="O304" s="304">
        <f t="shared" si="122"/>
        <v>0</v>
      </c>
      <c r="P304" s="359"/>
      <c r="Q304" s="359"/>
      <c r="R304" s="116"/>
      <c r="S304" s="358">
        <f t="shared" si="123"/>
        <v>0</v>
      </c>
      <c r="T304" s="358">
        <f t="shared" si="123"/>
        <v>0</v>
      </c>
      <c r="U304" s="304">
        <f t="shared" si="123"/>
        <v>0</v>
      </c>
      <c r="V304" s="359"/>
      <c r="W304" s="359"/>
      <c r="X304" s="116"/>
    </row>
    <row r="305" spans="1:24" s="8" customFormat="1" ht="15" customHeight="1">
      <c r="A305" s="99"/>
      <c r="B305" s="11"/>
      <c r="C305" s="176"/>
      <c r="D305" s="358"/>
      <c r="E305" s="358"/>
      <c r="F305" s="304"/>
      <c r="G305" s="358"/>
      <c r="H305" s="358"/>
      <c r="I305" s="304"/>
      <c r="J305" s="359"/>
      <c r="K305" s="359"/>
      <c r="L305" s="116"/>
      <c r="M305" s="358"/>
      <c r="N305" s="358"/>
      <c r="O305" s="304"/>
      <c r="P305" s="359"/>
      <c r="Q305" s="359"/>
      <c r="R305" s="116"/>
      <c r="S305" s="358"/>
      <c r="T305" s="358"/>
      <c r="U305" s="304"/>
      <c r="V305" s="359"/>
      <c r="W305" s="359"/>
      <c r="X305" s="116"/>
    </row>
    <row r="306" spans="1:24" s="8" customFormat="1" ht="157.5" customHeight="1">
      <c r="A306" s="99" t="s">
        <v>533</v>
      </c>
      <c r="B306" s="43" t="s">
        <v>585</v>
      </c>
      <c r="C306" s="188" t="s">
        <v>272</v>
      </c>
      <c r="D306" s="392">
        <f aca="true" t="shared" si="124" ref="D306:I306">SUM(D307:D308)</f>
        <v>93606.732</v>
      </c>
      <c r="E306" s="392">
        <f t="shared" si="124"/>
        <v>93606.732</v>
      </c>
      <c r="F306" s="204">
        <f t="shared" si="124"/>
        <v>0</v>
      </c>
      <c r="G306" s="392">
        <f t="shared" si="124"/>
        <v>15000</v>
      </c>
      <c r="H306" s="392">
        <f t="shared" si="124"/>
        <v>10000</v>
      </c>
      <c r="I306" s="204">
        <f t="shared" si="124"/>
        <v>-5000</v>
      </c>
      <c r="J306" s="407" t="s">
        <v>261</v>
      </c>
      <c r="K306" s="394" t="s">
        <v>261</v>
      </c>
      <c r="L306" s="293" t="s">
        <v>262</v>
      </c>
      <c r="M306" s="392">
        <f>SUM(M307:M308)</f>
        <v>20000</v>
      </c>
      <c r="N306" s="392">
        <f>SUM(N307:N308)</f>
        <v>15000</v>
      </c>
      <c r="O306" s="204">
        <f>SUM(O307:O308)</f>
        <v>-5000</v>
      </c>
      <c r="P306" s="407" t="s">
        <v>263</v>
      </c>
      <c r="Q306" s="394" t="s">
        <v>263</v>
      </c>
      <c r="R306" s="293" t="s">
        <v>262</v>
      </c>
      <c r="S306" s="392">
        <f>SUM(S307:S308)</f>
        <v>16250</v>
      </c>
      <c r="T306" s="392">
        <f>SUM(T307:T308)</f>
        <v>15000</v>
      </c>
      <c r="U306" s="204">
        <f>SUM(U307:U308)</f>
        <v>-1250</v>
      </c>
      <c r="V306" s="407" t="s">
        <v>264</v>
      </c>
      <c r="W306" s="394" t="s">
        <v>264</v>
      </c>
      <c r="X306" s="293" t="s">
        <v>262</v>
      </c>
    </row>
    <row r="307" spans="1:24" s="8" customFormat="1" ht="15" customHeight="1">
      <c r="A307" s="99" t="s">
        <v>534</v>
      </c>
      <c r="B307" s="10" t="s">
        <v>289</v>
      </c>
      <c r="C307" s="176"/>
      <c r="D307" s="352">
        <v>93606.732</v>
      </c>
      <c r="E307" s="352">
        <v>93606.732</v>
      </c>
      <c r="F307" s="304">
        <f>E307-D307</f>
        <v>0</v>
      </c>
      <c r="G307" s="352">
        <v>15000</v>
      </c>
      <c r="H307" s="352">
        <v>10000</v>
      </c>
      <c r="I307" s="304">
        <f>H307-G307</f>
        <v>-5000</v>
      </c>
      <c r="J307" s="353"/>
      <c r="K307" s="353"/>
      <c r="L307" s="116"/>
      <c r="M307" s="352">
        <v>20000</v>
      </c>
      <c r="N307" s="352">
        <v>15000</v>
      </c>
      <c r="O307" s="304">
        <f>N307-M307</f>
        <v>-5000</v>
      </c>
      <c r="P307" s="353"/>
      <c r="Q307" s="353"/>
      <c r="R307" s="116"/>
      <c r="S307" s="352">
        <v>16250</v>
      </c>
      <c r="T307" s="352">
        <v>15000</v>
      </c>
      <c r="U307" s="304">
        <f>T307-S307</f>
        <v>-1250</v>
      </c>
      <c r="V307" s="353"/>
      <c r="W307" s="353"/>
      <c r="X307" s="116"/>
    </row>
    <row r="308" spans="1:24" s="8" customFormat="1" ht="15" customHeight="1">
      <c r="A308" s="99" t="s">
        <v>535</v>
      </c>
      <c r="B308" s="10" t="s">
        <v>291</v>
      </c>
      <c r="C308" s="176"/>
      <c r="D308" s="358"/>
      <c r="E308" s="358"/>
      <c r="F308" s="304">
        <f>E308-D308</f>
        <v>0</v>
      </c>
      <c r="G308" s="358"/>
      <c r="H308" s="358"/>
      <c r="I308" s="304">
        <f>H308-G308</f>
        <v>0</v>
      </c>
      <c r="J308" s="359"/>
      <c r="K308" s="359"/>
      <c r="L308" s="116"/>
      <c r="M308" s="358"/>
      <c r="N308" s="358"/>
      <c r="O308" s="304">
        <f>N308-M308</f>
        <v>0</v>
      </c>
      <c r="P308" s="359"/>
      <c r="Q308" s="359"/>
      <c r="R308" s="116"/>
      <c r="S308" s="358"/>
      <c r="T308" s="358"/>
      <c r="U308" s="304">
        <f>T308-S308</f>
        <v>0</v>
      </c>
      <c r="V308" s="359"/>
      <c r="W308" s="359"/>
      <c r="X308" s="116"/>
    </row>
    <row r="309" spans="1:24" s="8" customFormat="1" ht="15" customHeight="1">
      <c r="A309" s="104"/>
      <c r="B309" s="9"/>
      <c r="C309" s="172"/>
      <c r="D309" s="358"/>
      <c r="E309" s="358"/>
      <c r="F309" s="304"/>
      <c r="G309" s="358"/>
      <c r="H309" s="358"/>
      <c r="I309" s="304"/>
      <c r="J309" s="359"/>
      <c r="K309" s="359"/>
      <c r="L309" s="116"/>
      <c r="M309" s="302"/>
      <c r="N309" s="303"/>
      <c r="O309" s="304"/>
      <c r="P309" s="265"/>
      <c r="Q309" s="279"/>
      <c r="R309" s="116"/>
      <c r="S309" s="302"/>
      <c r="T309" s="303"/>
      <c r="U309" s="304"/>
      <c r="V309" s="265"/>
      <c r="W309" s="279"/>
      <c r="X309" s="116"/>
    </row>
    <row r="310" spans="1:24" s="8" customFormat="1" ht="15" customHeight="1">
      <c r="A310" s="166"/>
      <c r="B310" s="232"/>
      <c r="C310" s="233"/>
      <c r="D310" s="432" t="s">
        <v>297</v>
      </c>
      <c r="E310" s="433"/>
      <c r="F310" s="433"/>
      <c r="G310" s="433"/>
      <c r="H310" s="433"/>
      <c r="I310" s="433"/>
      <c r="J310" s="433"/>
      <c r="K310" s="433"/>
      <c r="L310" s="434"/>
      <c r="M310" s="432" t="s">
        <v>297</v>
      </c>
      <c r="N310" s="433"/>
      <c r="O310" s="433"/>
      <c r="P310" s="433"/>
      <c r="Q310" s="433"/>
      <c r="R310" s="433"/>
      <c r="S310" s="433"/>
      <c r="T310" s="433"/>
      <c r="U310" s="433"/>
      <c r="V310" s="433"/>
      <c r="W310" s="433"/>
      <c r="X310" s="433"/>
    </row>
    <row r="311" spans="1:24" s="8" customFormat="1" ht="31.5">
      <c r="A311" s="103" t="s">
        <v>536</v>
      </c>
      <c r="B311" s="43" t="s">
        <v>298</v>
      </c>
      <c r="C311" s="176"/>
      <c r="D311" s="360">
        <f aca="true" t="shared" si="125" ref="D311:I311">SUM(D312:D312)</f>
        <v>762.552</v>
      </c>
      <c r="E311" s="360">
        <f t="shared" si="125"/>
        <v>762.552</v>
      </c>
      <c r="F311" s="308">
        <f t="shared" si="125"/>
        <v>0</v>
      </c>
      <c r="G311" s="360">
        <f t="shared" si="125"/>
        <v>50</v>
      </c>
      <c r="H311" s="360">
        <f t="shared" si="125"/>
        <v>50</v>
      </c>
      <c r="I311" s="308">
        <f t="shared" si="125"/>
        <v>0</v>
      </c>
      <c r="J311" s="361"/>
      <c r="K311" s="361"/>
      <c r="L311" s="115"/>
      <c r="M311" s="360">
        <f>SUM(M312:M312)</f>
        <v>300</v>
      </c>
      <c r="N311" s="360">
        <f>SUM(N312:N312)</f>
        <v>300</v>
      </c>
      <c r="O311" s="308">
        <f>SUM(O312:O312)</f>
        <v>0</v>
      </c>
      <c r="P311" s="361"/>
      <c r="Q311" s="361"/>
      <c r="R311" s="115"/>
      <c r="S311" s="360">
        <f>SUM(S312:S312)</f>
        <v>200</v>
      </c>
      <c r="T311" s="360">
        <f>SUM(T312:T312)</f>
        <v>200</v>
      </c>
      <c r="U311" s="308">
        <f>SUM(U312:U312)</f>
        <v>0</v>
      </c>
      <c r="V311" s="361"/>
      <c r="W311" s="361"/>
      <c r="X311" s="115"/>
    </row>
    <row r="312" spans="1:24" s="8" customFormat="1" ht="15" customHeight="1">
      <c r="A312" s="103" t="s">
        <v>537</v>
      </c>
      <c r="B312" s="10" t="s">
        <v>289</v>
      </c>
      <c r="C312" s="176"/>
      <c r="D312" s="358">
        <f aca="true" t="shared" si="126" ref="D312:I312">SUM(D315+D318)</f>
        <v>762.552</v>
      </c>
      <c r="E312" s="358">
        <f t="shared" si="126"/>
        <v>762.552</v>
      </c>
      <c r="F312" s="304">
        <f t="shared" si="126"/>
        <v>0</v>
      </c>
      <c r="G312" s="358">
        <f t="shared" si="126"/>
        <v>50</v>
      </c>
      <c r="H312" s="358">
        <f t="shared" si="126"/>
        <v>50</v>
      </c>
      <c r="I312" s="304">
        <f t="shared" si="126"/>
        <v>0</v>
      </c>
      <c r="J312" s="359"/>
      <c r="K312" s="359"/>
      <c r="L312" s="116"/>
      <c r="M312" s="358">
        <f>SUM(M315+M318)</f>
        <v>300</v>
      </c>
      <c r="N312" s="358">
        <f>SUM(N315+N318)</f>
        <v>300</v>
      </c>
      <c r="O312" s="304">
        <f>SUM(O315+O318)</f>
        <v>0</v>
      </c>
      <c r="P312" s="359"/>
      <c r="Q312" s="359"/>
      <c r="R312" s="116"/>
      <c r="S312" s="358">
        <f>SUM(S315+S318)</f>
        <v>200</v>
      </c>
      <c r="T312" s="358">
        <f>SUM(T315+T318)</f>
        <v>200</v>
      </c>
      <c r="U312" s="304">
        <f>SUM(U315+U318)</f>
        <v>0</v>
      </c>
      <c r="V312" s="359"/>
      <c r="W312" s="359"/>
      <c r="X312" s="116"/>
    </row>
    <row r="313" spans="1:24" s="8" customFormat="1" ht="15" customHeight="1">
      <c r="A313" s="103"/>
      <c r="B313" s="12"/>
      <c r="C313" s="181"/>
      <c r="D313" s="408"/>
      <c r="E313" s="408"/>
      <c r="F313" s="326"/>
      <c r="G313" s="408"/>
      <c r="H313" s="408"/>
      <c r="I313" s="326"/>
      <c r="J313" s="409"/>
      <c r="K313" s="409"/>
      <c r="L313" s="156"/>
      <c r="M313" s="408"/>
      <c r="N313" s="408"/>
      <c r="O313" s="326"/>
      <c r="P313" s="409"/>
      <c r="Q313" s="409"/>
      <c r="R313" s="156"/>
      <c r="S313" s="408"/>
      <c r="T313" s="408"/>
      <c r="U313" s="326"/>
      <c r="V313" s="409"/>
      <c r="W313" s="409"/>
      <c r="X313" s="156"/>
    </row>
    <row r="314" spans="1:24" s="8" customFormat="1" ht="99" customHeight="1">
      <c r="A314" s="103" t="s">
        <v>538</v>
      </c>
      <c r="B314" s="43" t="s">
        <v>587</v>
      </c>
      <c r="C314" s="187" t="s">
        <v>273</v>
      </c>
      <c r="D314" s="360">
        <f aca="true" t="shared" si="127" ref="D314:I314">SUM(D315:D315)</f>
        <v>401.552</v>
      </c>
      <c r="E314" s="360">
        <f t="shared" si="127"/>
        <v>401.552</v>
      </c>
      <c r="F314" s="308">
        <f t="shared" si="127"/>
        <v>0</v>
      </c>
      <c r="G314" s="360">
        <f t="shared" si="127"/>
        <v>50</v>
      </c>
      <c r="H314" s="360">
        <f t="shared" si="127"/>
        <v>50</v>
      </c>
      <c r="I314" s="308">
        <f t="shared" si="127"/>
        <v>0</v>
      </c>
      <c r="J314" s="393"/>
      <c r="K314" s="393"/>
      <c r="L314" s="114"/>
      <c r="M314" s="360">
        <f>SUM(M315:M315)</f>
        <v>150</v>
      </c>
      <c r="N314" s="360">
        <f>SUM(N315:N315)</f>
        <v>150</v>
      </c>
      <c r="O314" s="308">
        <f>SUM(O315:O315)</f>
        <v>0</v>
      </c>
      <c r="P314" s="361"/>
      <c r="Q314" s="361"/>
      <c r="R314" s="115"/>
      <c r="S314" s="360">
        <f>SUM(S315:S315)</f>
        <v>100</v>
      </c>
      <c r="T314" s="360">
        <f>SUM(T315:T315)</f>
        <v>100</v>
      </c>
      <c r="U314" s="308">
        <f>SUM(U315:U315)</f>
        <v>0</v>
      </c>
      <c r="V314" s="361"/>
      <c r="W314" s="361"/>
      <c r="X314" s="115"/>
    </row>
    <row r="315" spans="1:24" s="8" customFormat="1" ht="15" customHeight="1">
      <c r="A315" s="103" t="s">
        <v>539</v>
      </c>
      <c r="B315" s="10" t="s">
        <v>289</v>
      </c>
      <c r="C315" s="176"/>
      <c r="D315" s="352">
        <v>401.552</v>
      </c>
      <c r="E315" s="352">
        <v>401.552</v>
      </c>
      <c r="F315" s="304">
        <f>D315-E315</f>
        <v>0</v>
      </c>
      <c r="G315" s="352">
        <v>50</v>
      </c>
      <c r="H315" s="358">
        <v>50</v>
      </c>
      <c r="I315" s="304">
        <f>G315-H315</f>
        <v>0</v>
      </c>
      <c r="J315" s="359"/>
      <c r="K315" s="359"/>
      <c r="L315" s="116"/>
      <c r="M315" s="352">
        <v>150</v>
      </c>
      <c r="N315" s="358">
        <v>150</v>
      </c>
      <c r="O315" s="304">
        <f>M315-N315</f>
        <v>0</v>
      </c>
      <c r="P315" s="359"/>
      <c r="Q315" s="359"/>
      <c r="R315" s="116"/>
      <c r="S315" s="352">
        <v>100</v>
      </c>
      <c r="T315" s="358">
        <v>100</v>
      </c>
      <c r="U315" s="304">
        <f>S315-T315</f>
        <v>0</v>
      </c>
      <c r="V315" s="359"/>
      <c r="W315" s="359"/>
      <c r="X315" s="116"/>
    </row>
    <row r="316" spans="1:24" s="8" customFormat="1" ht="15" customHeight="1">
      <c r="A316" s="103"/>
      <c r="B316" s="10"/>
      <c r="C316" s="176"/>
      <c r="D316" s="352"/>
      <c r="E316" s="352"/>
      <c r="F316" s="304"/>
      <c r="G316" s="352"/>
      <c r="H316" s="358"/>
      <c r="I316" s="304"/>
      <c r="J316" s="359"/>
      <c r="K316" s="359"/>
      <c r="L316" s="116"/>
      <c r="M316" s="352"/>
      <c r="N316" s="358"/>
      <c r="O316" s="304"/>
      <c r="P316" s="359"/>
      <c r="Q316" s="359"/>
      <c r="R316" s="116"/>
      <c r="S316" s="352"/>
      <c r="T316" s="358"/>
      <c r="U316" s="304"/>
      <c r="V316" s="359"/>
      <c r="W316" s="359"/>
      <c r="X316" s="116"/>
    </row>
    <row r="317" spans="1:24" s="8" customFormat="1" ht="55.5" customHeight="1">
      <c r="A317" s="103" t="s">
        <v>540</v>
      </c>
      <c r="B317" s="43" t="s">
        <v>588</v>
      </c>
      <c r="C317" s="187" t="s">
        <v>73</v>
      </c>
      <c r="D317" s="392">
        <f aca="true" t="shared" si="128" ref="D317:I317">SUM(D318:D318)</f>
        <v>361</v>
      </c>
      <c r="E317" s="392">
        <f t="shared" si="128"/>
        <v>361</v>
      </c>
      <c r="F317" s="308">
        <f t="shared" si="128"/>
        <v>0</v>
      </c>
      <c r="G317" s="392">
        <f t="shared" si="128"/>
        <v>0</v>
      </c>
      <c r="H317" s="360">
        <f t="shared" si="128"/>
        <v>0</v>
      </c>
      <c r="I317" s="308">
        <f t="shared" si="128"/>
        <v>0</v>
      </c>
      <c r="J317" s="361"/>
      <c r="K317" s="361"/>
      <c r="L317" s="115"/>
      <c r="M317" s="392">
        <f>SUM(M318:M318)</f>
        <v>150</v>
      </c>
      <c r="N317" s="360">
        <f>SUM(N318:N318)</f>
        <v>150</v>
      </c>
      <c r="O317" s="308">
        <f>SUM(O318:O318)</f>
        <v>0</v>
      </c>
      <c r="P317" s="361"/>
      <c r="Q317" s="361"/>
      <c r="R317" s="115"/>
      <c r="S317" s="392">
        <f>SUM(S318:S318)</f>
        <v>100</v>
      </c>
      <c r="T317" s="360">
        <f>SUM(T318:T318)</f>
        <v>100</v>
      </c>
      <c r="U317" s="308">
        <f>SUM(U318:U318)</f>
        <v>0</v>
      </c>
      <c r="V317" s="361"/>
      <c r="W317" s="361"/>
      <c r="X317" s="115"/>
    </row>
    <row r="318" spans="1:24" s="8" customFormat="1" ht="15" customHeight="1">
      <c r="A318" s="103" t="s">
        <v>541</v>
      </c>
      <c r="B318" s="10" t="s">
        <v>289</v>
      </c>
      <c r="C318" s="176"/>
      <c r="D318" s="352">
        <v>361</v>
      </c>
      <c r="E318" s="352">
        <v>361</v>
      </c>
      <c r="F318" s="304">
        <f>E318-D318</f>
        <v>0</v>
      </c>
      <c r="G318" s="352"/>
      <c r="H318" s="358"/>
      <c r="I318" s="304">
        <f>H318-G318</f>
        <v>0</v>
      </c>
      <c r="J318" s="359"/>
      <c r="K318" s="359"/>
      <c r="L318" s="116"/>
      <c r="M318" s="352">
        <v>150</v>
      </c>
      <c r="N318" s="358">
        <v>150</v>
      </c>
      <c r="O318" s="304">
        <f>N318-M318</f>
        <v>0</v>
      </c>
      <c r="P318" s="359"/>
      <c r="Q318" s="359"/>
      <c r="R318" s="116"/>
      <c r="S318" s="352">
        <v>100</v>
      </c>
      <c r="T318" s="358">
        <v>100</v>
      </c>
      <c r="U318" s="304">
        <f>T318-S318</f>
        <v>0</v>
      </c>
      <c r="V318" s="359"/>
      <c r="W318" s="359"/>
      <c r="X318" s="116"/>
    </row>
    <row r="319" spans="1:24" s="8" customFormat="1" ht="15" customHeight="1">
      <c r="A319" s="104"/>
      <c r="B319" s="9"/>
      <c r="C319" s="172"/>
      <c r="D319" s="358"/>
      <c r="E319" s="358"/>
      <c r="F319" s="304"/>
      <c r="G319" s="358"/>
      <c r="H319" s="358"/>
      <c r="I319" s="304"/>
      <c r="J319" s="359"/>
      <c r="K319" s="359"/>
      <c r="L319" s="116"/>
      <c r="M319" s="358"/>
      <c r="N319" s="358"/>
      <c r="O319" s="304"/>
      <c r="P319" s="359"/>
      <c r="Q319" s="359"/>
      <c r="R319" s="116"/>
      <c r="S319" s="358"/>
      <c r="T319" s="358"/>
      <c r="U319" s="304"/>
      <c r="V319" s="359"/>
      <c r="W319" s="359"/>
      <c r="X319" s="116"/>
    </row>
    <row r="320" spans="1:24" s="7" customFormat="1" ht="15" customHeight="1">
      <c r="A320" s="165"/>
      <c r="B320" s="230"/>
      <c r="C320" s="231"/>
      <c r="D320" s="429" t="s">
        <v>284</v>
      </c>
      <c r="E320" s="430"/>
      <c r="F320" s="430"/>
      <c r="G320" s="430"/>
      <c r="H320" s="430"/>
      <c r="I320" s="430"/>
      <c r="J320" s="430"/>
      <c r="K320" s="430"/>
      <c r="L320" s="431"/>
      <c r="M320" s="429" t="s">
        <v>284</v>
      </c>
      <c r="N320" s="430"/>
      <c r="O320" s="430"/>
      <c r="P320" s="430"/>
      <c r="Q320" s="430"/>
      <c r="R320" s="430"/>
      <c r="S320" s="430"/>
      <c r="T320" s="430"/>
      <c r="U320" s="430"/>
      <c r="V320" s="430"/>
      <c r="W320" s="430"/>
      <c r="X320" s="430"/>
    </row>
    <row r="321" spans="1:24" s="8" customFormat="1" ht="15.75">
      <c r="A321" s="103" t="s">
        <v>542</v>
      </c>
      <c r="B321" s="43" t="s">
        <v>321</v>
      </c>
      <c r="C321" s="176"/>
      <c r="D321" s="360">
        <f aca="true" t="shared" si="129" ref="D321:I321">SUM(D322:D325)</f>
        <v>158099.947</v>
      </c>
      <c r="E321" s="360">
        <f t="shared" si="129"/>
        <v>130821.947</v>
      </c>
      <c r="F321" s="308">
        <f t="shared" si="129"/>
        <v>-27278</v>
      </c>
      <c r="G321" s="360">
        <f t="shared" si="129"/>
        <v>10623</v>
      </c>
      <c r="H321" s="360">
        <f t="shared" si="129"/>
        <v>11708.2</v>
      </c>
      <c r="I321" s="308">
        <f t="shared" si="129"/>
        <v>1085.1999999999998</v>
      </c>
      <c r="J321" s="361"/>
      <c r="K321" s="361"/>
      <c r="L321" s="115"/>
      <c r="M321" s="360">
        <f>SUM(M322:M325)</f>
        <v>9930</v>
      </c>
      <c r="N321" s="360">
        <f>SUM(N322:N325)</f>
        <v>11910.2</v>
      </c>
      <c r="O321" s="308">
        <f>SUM(O322:O325)</f>
        <v>1980.1999999999998</v>
      </c>
      <c r="P321" s="361"/>
      <c r="Q321" s="361"/>
      <c r="R321" s="115"/>
      <c r="S321" s="360">
        <f>SUM(S322:S325)</f>
        <v>9930</v>
      </c>
      <c r="T321" s="360">
        <f>SUM(T322:T325)</f>
        <v>11957.5</v>
      </c>
      <c r="U321" s="308">
        <f>SUM(U322:U325)</f>
        <v>2027.5</v>
      </c>
      <c r="V321" s="361"/>
      <c r="W321" s="361"/>
      <c r="X321" s="115"/>
    </row>
    <row r="322" spans="1:24" s="8" customFormat="1" ht="15" customHeight="1">
      <c r="A322" s="103" t="s">
        <v>543</v>
      </c>
      <c r="B322" s="10" t="s">
        <v>289</v>
      </c>
      <c r="C322" s="176"/>
      <c r="D322" s="358">
        <f aca="true" t="shared" si="130" ref="D322:I322">SUM(D328+D334)</f>
        <v>73597.616</v>
      </c>
      <c r="E322" s="358">
        <f t="shared" si="130"/>
        <v>78690.516</v>
      </c>
      <c r="F322" s="299">
        <f t="shared" si="130"/>
        <v>5092.9</v>
      </c>
      <c r="G322" s="358">
        <f t="shared" si="130"/>
        <v>10623</v>
      </c>
      <c r="H322" s="352">
        <f t="shared" si="130"/>
        <v>11708.2</v>
      </c>
      <c r="I322" s="299">
        <f t="shared" si="130"/>
        <v>1085.1999999999998</v>
      </c>
      <c r="J322" s="359"/>
      <c r="K322" s="359"/>
      <c r="L322" s="95"/>
      <c r="M322" s="358">
        <f>SUM(M328+M334)</f>
        <v>9930</v>
      </c>
      <c r="N322" s="352">
        <f>SUM(N328+N334)</f>
        <v>11910.2</v>
      </c>
      <c r="O322" s="299">
        <f>SUM(O328+O334)</f>
        <v>1980.1999999999998</v>
      </c>
      <c r="P322" s="359"/>
      <c r="Q322" s="359"/>
      <c r="R322" s="111"/>
      <c r="S322" s="358">
        <f>SUM(S328+S334)</f>
        <v>9930</v>
      </c>
      <c r="T322" s="352">
        <f>SUM(T328+T334)</f>
        <v>11957.5</v>
      </c>
      <c r="U322" s="299">
        <f>SUM(U328+U334)</f>
        <v>2027.5</v>
      </c>
      <c r="V322" s="359"/>
      <c r="W322" s="359"/>
      <c r="X322" s="111"/>
    </row>
    <row r="323" spans="1:24" s="8" customFormat="1" ht="15" customHeight="1">
      <c r="A323" s="103" t="s">
        <v>544</v>
      </c>
      <c r="B323" s="10" t="s">
        <v>290</v>
      </c>
      <c r="C323" s="176"/>
      <c r="D323" s="358"/>
      <c r="E323" s="358"/>
      <c r="F323" s="304"/>
      <c r="G323" s="358"/>
      <c r="H323" s="358"/>
      <c r="I323" s="304"/>
      <c r="J323" s="359"/>
      <c r="K323" s="359"/>
      <c r="L323" s="117"/>
      <c r="M323" s="358"/>
      <c r="N323" s="358"/>
      <c r="O323" s="304"/>
      <c r="P323" s="359"/>
      <c r="Q323" s="359"/>
      <c r="R323" s="116"/>
      <c r="S323" s="358"/>
      <c r="T323" s="358"/>
      <c r="U323" s="304"/>
      <c r="V323" s="359"/>
      <c r="W323" s="359"/>
      <c r="X323" s="116"/>
    </row>
    <row r="324" spans="1:24" s="8" customFormat="1" ht="15" customHeight="1">
      <c r="A324" s="103" t="s">
        <v>545</v>
      </c>
      <c r="B324" s="10" t="s">
        <v>291</v>
      </c>
      <c r="C324" s="176"/>
      <c r="D324" s="358">
        <f aca="true" t="shared" si="131" ref="D324:I324">SUM(D336)</f>
        <v>84502.331</v>
      </c>
      <c r="E324" s="358">
        <f t="shared" si="131"/>
        <v>52131.431</v>
      </c>
      <c r="F324" s="304">
        <f t="shared" si="131"/>
        <v>-32370.9</v>
      </c>
      <c r="G324" s="358">
        <f t="shared" si="131"/>
        <v>0</v>
      </c>
      <c r="H324" s="358">
        <f t="shared" si="131"/>
        <v>0</v>
      </c>
      <c r="I324" s="304">
        <f t="shared" si="131"/>
        <v>0</v>
      </c>
      <c r="J324" s="359"/>
      <c r="K324" s="359"/>
      <c r="L324" s="117"/>
      <c r="M324" s="358">
        <f>SUM(M336)</f>
        <v>0</v>
      </c>
      <c r="N324" s="358">
        <f>SUM(N336)</f>
        <v>0</v>
      </c>
      <c r="O324" s="304">
        <f>SUM(O336)</f>
        <v>0</v>
      </c>
      <c r="P324" s="359"/>
      <c r="Q324" s="359"/>
      <c r="R324" s="116"/>
      <c r="S324" s="358">
        <f>SUM(S336)</f>
        <v>0</v>
      </c>
      <c r="T324" s="358">
        <f>SUM(T336)</f>
        <v>0</v>
      </c>
      <c r="U324" s="304">
        <f>SUM(U336)</f>
        <v>0</v>
      </c>
      <c r="V324" s="359"/>
      <c r="W324" s="359"/>
      <c r="X324" s="116"/>
    </row>
    <row r="325" spans="1:24" s="8" customFormat="1" ht="15" customHeight="1">
      <c r="A325" s="103" t="s">
        <v>599</v>
      </c>
      <c r="B325" s="10" t="s">
        <v>292</v>
      </c>
      <c r="C325" s="176"/>
      <c r="D325" s="302"/>
      <c r="E325" s="303"/>
      <c r="F325" s="316"/>
      <c r="G325" s="302"/>
      <c r="H325" s="303"/>
      <c r="I325" s="316"/>
      <c r="J325" s="265"/>
      <c r="K325" s="279"/>
      <c r="L325" s="117"/>
      <c r="M325" s="302"/>
      <c r="N325" s="303"/>
      <c r="O325" s="316"/>
      <c r="P325" s="265"/>
      <c r="Q325" s="279"/>
      <c r="R325" s="117"/>
      <c r="S325" s="302"/>
      <c r="T325" s="303"/>
      <c r="U325" s="316"/>
      <c r="V325" s="265"/>
      <c r="W325" s="279"/>
      <c r="X325" s="117"/>
    </row>
    <row r="326" spans="1:24" s="8" customFormat="1" ht="15" customHeight="1">
      <c r="A326" s="168"/>
      <c r="B326" s="237"/>
      <c r="C326" s="238"/>
      <c r="D326" s="435" t="s">
        <v>293</v>
      </c>
      <c r="E326" s="436"/>
      <c r="F326" s="436"/>
      <c r="G326" s="436"/>
      <c r="H326" s="436"/>
      <c r="I326" s="436"/>
      <c r="J326" s="436"/>
      <c r="K326" s="436"/>
      <c r="L326" s="437"/>
      <c r="M326" s="435" t="s">
        <v>293</v>
      </c>
      <c r="N326" s="436"/>
      <c r="O326" s="436"/>
      <c r="P326" s="436"/>
      <c r="Q326" s="436"/>
      <c r="R326" s="436"/>
      <c r="S326" s="436"/>
      <c r="T326" s="436"/>
      <c r="U326" s="436"/>
      <c r="V326" s="436"/>
      <c r="W326" s="436"/>
      <c r="X326" s="436"/>
    </row>
    <row r="327" spans="1:24" s="8" customFormat="1" ht="35.25" customHeight="1">
      <c r="A327" s="103" t="s">
        <v>600</v>
      </c>
      <c r="B327" s="43" t="s">
        <v>316</v>
      </c>
      <c r="C327" s="176"/>
      <c r="D327" s="306"/>
      <c r="E327" s="307"/>
      <c r="F327" s="308"/>
      <c r="G327" s="306"/>
      <c r="H327" s="307"/>
      <c r="I327" s="308"/>
      <c r="J327" s="266"/>
      <c r="K327" s="280"/>
      <c r="L327" s="115"/>
      <c r="M327" s="306"/>
      <c r="N327" s="307"/>
      <c r="O327" s="308"/>
      <c r="P327" s="266"/>
      <c r="Q327" s="280"/>
      <c r="R327" s="115"/>
      <c r="S327" s="306"/>
      <c r="T327" s="307"/>
      <c r="U327" s="308"/>
      <c r="V327" s="266"/>
      <c r="W327" s="280"/>
      <c r="X327" s="115"/>
    </row>
    <row r="328" spans="1:24" s="8" customFormat="1" ht="15" customHeight="1">
      <c r="A328" s="103" t="s">
        <v>589</v>
      </c>
      <c r="B328" s="10" t="s">
        <v>289</v>
      </c>
      <c r="C328" s="176"/>
      <c r="D328" s="302"/>
      <c r="E328" s="303"/>
      <c r="F328" s="316"/>
      <c r="G328" s="302"/>
      <c r="H328" s="303"/>
      <c r="I328" s="316"/>
      <c r="J328" s="265"/>
      <c r="K328" s="279"/>
      <c r="L328" s="117"/>
      <c r="M328" s="302"/>
      <c r="N328" s="303"/>
      <c r="O328" s="316"/>
      <c r="P328" s="265"/>
      <c r="Q328" s="279"/>
      <c r="R328" s="117"/>
      <c r="S328" s="302"/>
      <c r="T328" s="303"/>
      <c r="U328" s="316"/>
      <c r="V328" s="265"/>
      <c r="W328" s="279"/>
      <c r="X328" s="117"/>
    </row>
    <row r="329" spans="1:24" s="8" customFormat="1" ht="15" customHeight="1">
      <c r="A329" s="169"/>
      <c r="B329" s="239"/>
      <c r="C329" s="240"/>
      <c r="D329" s="438" t="s">
        <v>294</v>
      </c>
      <c r="E329" s="439"/>
      <c r="F329" s="439"/>
      <c r="G329" s="439"/>
      <c r="H329" s="439"/>
      <c r="I329" s="439"/>
      <c r="J329" s="439"/>
      <c r="K329" s="439"/>
      <c r="L329" s="440"/>
      <c r="M329" s="438" t="s">
        <v>294</v>
      </c>
      <c r="N329" s="439"/>
      <c r="O329" s="439"/>
      <c r="P329" s="439"/>
      <c r="Q329" s="439"/>
      <c r="R329" s="439"/>
      <c r="S329" s="439"/>
      <c r="T329" s="439"/>
      <c r="U329" s="439"/>
      <c r="V329" s="439"/>
      <c r="W329" s="439"/>
      <c r="X329" s="439"/>
    </row>
    <row r="330" spans="1:24" s="8" customFormat="1" ht="48.75" customHeight="1">
      <c r="A330" s="103" t="s">
        <v>590</v>
      </c>
      <c r="B330" s="43" t="s">
        <v>574</v>
      </c>
      <c r="C330" s="176"/>
      <c r="D330" s="306"/>
      <c r="E330" s="307"/>
      <c r="F330" s="308"/>
      <c r="G330" s="306"/>
      <c r="H330" s="307"/>
      <c r="I330" s="308"/>
      <c r="J330" s="266"/>
      <c r="K330" s="280"/>
      <c r="L330" s="115"/>
      <c r="M330" s="306"/>
      <c r="N330" s="307"/>
      <c r="O330" s="308"/>
      <c r="P330" s="266"/>
      <c r="Q330" s="280"/>
      <c r="R330" s="115"/>
      <c r="S330" s="306"/>
      <c r="T330" s="307"/>
      <c r="U330" s="308"/>
      <c r="V330" s="266"/>
      <c r="W330" s="280"/>
      <c r="X330" s="115"/>
    </row>
    <row r="331" spans="1:24" s="8" customFormat="1" ht="15" customHeight="1">
      <c r="A331" s="103" t="s">
        <v>591</v>
      </c>
      <c r="B331" s="10" t="s">
        <v>289</v>
      </c>
      <c r="C331" s="176"/>
      <c r="D331" s="244"/>
      <c r="E331" s="252"/>
      <c r="F331" s="117"/>
      <c r="G331" s="244"/>
      <c r="H331" s="252"/>
      <c r="I331" s="117"/>
      <c r="J331" s="265"/>
      <c r="K331" s="279"/>
      <c r="L331" s="117"/>
      <c r="M331" s="302"/>
      <c r="N331" s="303"/>
      <c r="O331" s="316"/>
      <c r="P331" s="265"/>
      <c r="Q331" s="279"/>
      <c r="R331" s="117"/>
      <c r="S331" s="302"/>
      <c r="T331" s="303"/>
      <c r="U331" s="316"/>
      <c r="V331" s="265"/>
      <c r="W331" s="279"/>
      <c r="X331" s="117"/>
    </row>
    <row r="332" spans="1:24" s="8" customFormat="1" ht="15" customHeight="1">
      <c r="A332" s="166"/>
      <c r="B332" s="232"/>
      <c r="C332" s="233"/>
      <c r="D332" s="432" t="s">
        <v>297</v>
      </c>
      <c r="E332" s="433"/>
      <c r="F332" s="433"/>
      <c r="G332" s="433"/>
      <c r="H332" s="433"/>
      <c r="I332" s="433"/>
      <c r="J332" s="433"/>
      <c r="K332" s="433"/>
      <c r="L332" s="434"/>
      <c r="M332" s="432" t="s">
        <v>297</v>
      </c>
      <c r="N332" s="433"/>
      <c r="O332" s="433"/>
      <c r="P332" s="433"/>
      <c r="Q332" s="433"/>
      <c r="R332" s="433"/>
      <c r="S332" s="433"/>
      <c r="T332" s="433"/>
      <c r="U332" s="433"/>
      <c r="V332" s="433"/>
      <c r="W332" s="433"/>
      <c r="X332" s="433"/>
    </row>
    <row r="333" spans="1:24" s="8" customFormat="1" ht="31.5">
      <c r="A333" s="103" t="s">
        <v>592</v>
      </c>
      <c r="B333" s="43" t="s">
        <v>298</v>
      </c>
      <c r="C333" s="176"/>
      <c r="D333" s="360">
        <f aca="true" t="shared" si="132" ref="D333:I333">SUM(D334:D336)</f>
        <v>158099.947</v>
      </c>
      <c r="E333" s="360">
        <f t="shared" si="132"/>
        <v>130821.947</v>
      </c>
      <c r="F333" s="308">
        <f t="shared" si="132"/>
        <v>-27278</v>
      </c>
      <c r="G333" s="360">
        <f t="shared" si="132"/>
        <v>10623</v>
      </c>
      <c r="H333" s="360">
        <f t="shared" si="132"/>
        <v>11708.2</v>
      </c>
      <c r="I333" s="308">
        <f t="shared" si="132"/>
        <v>1085.1999999999998</v>
      </c>
      <c r="J333" s="361"/>
      <c r="K333" s="361"/>
      <c r="L333" s="115"/>
      <c r="M333" s="360">
        <f>SUM(M334:M336)</f>
        <v>9930</v>
      </c>
      <c r="N333" s="360">
        <f>SUM(N334:N336)</f>
        <v>11910.2</v>
      </c>
      <c r="O333" s="308">
        <f>SUM(O334:O336)</f>
        <v>1980.1999999999998</v>
      </c>
      <c r="P333" s="361"/>
      <c r="Q333" s="361"/>
      <c r="R333" s="115"/>
      <c r="S333" s="360">
        <f>SUM(S334:S336)</f>
        <v>9930</v>
      </c>
      <c r="T333" s="360">
        <f>SUM(T334:T336)</f>
        <v>11957.5</v>
      </c>
      <c r="U333" s="308">
        <f>SUM(U334:U336)</f>
        <v>2027.5</v>
      </c>
      <c r="V333" s="361"/>
      <c r="W333" s="361"/>
      <c r="X333" s="115"/>
    </row>
    <row r="334" spans="1:24" s="8" customFormat="1" ht="15" customHeight="1">
      <c r="A334" s="103" t="s">
        <v>546</v>
      </c>
      <c r="B334" s="10" t="s">
        <v>289</v>
      </c>
      <c r="C334" s="176"/>
      <c r="D334" s="358">
        <f aca="true" t="shared" si="133" ref="D334:I334">SUM(D339+D343+D346+D350)</f>
        <v>73597.616</v>
      </c>
      <c r="E334" s="358">
        <f t="shared" si="133"/>
        <v>78690.516</v>
      </c>
      <c r="F334" s="304">
        <f t="shared" si="133"/>
        <v>5092.9</v>
      </c>
      <c r="G334" s="358">
        <f t="shared" si="133"/>
        <v>10623</v>
      </c>
      <c r="H334" s="358">
        <f t="shared" si="133"/>
        <v>11708.2</v>
      </c>
      <c r="I334" s="304">
        <f t="shared" si="133"/>
        <v>1085.1999999999998</v>
      </c>
      <c r="J334" s="359"/>
      <c r="K334" s="359"/>
      <c r="L334" s="116"/>
      <c r="M334" s="358">
        <f>SUM(M339+M343+M346+M350)</f>
        <v>9930</v>
      </c>
      <c r="N334" s="358">
        <f>SUM(N339+N343+N346+N350)</f>
        <v>11910.2</v>
      </c>
      <c r="O334" s="304">
        <f>SUM(O339+O343+O346+O350)</f>
        <v>1980.1999999999998</v>
      </c>
      <c r="P334" s="359"/>
      <c r="Q334" s="359"/>
      <c r="R334" s="116"/>
      <c r="S334" s="358">
        <f>SUM(S339+S343+S346+S350)</f>
        <v>9930</v>
      </c>
      <c r="T334" s="358">
        <f>SUM(T339+T343+T346+T350)</f>
        <v>11957.5</v>
      </c>
      <c r="U334" s="304">
        <f>SUM(U339+U343+U346+U350)</f>
        <v>2027.5</v>
      </c>
      <c r="V334" s="359"/>
      <c r="W334" s="359"/>
      <c r="X334" s="117"/>
    </row>
    <row r="335" spans="1:24" s="8" customFormat="1" ht="15" customHeight="1">
      <c r="A335" s="103" t="s">
        <v>547</v>
      </c>
      <c r="B335" s="10" t="s">
        <v>290</v>
      </c>
      <c r="C335" s="176"/>
      <c r="D335" s="358"/>
      <c r="E335" s="358"/>
      <c r="F335" s="304"/>
      <c r="G335" s="358"/>
      <c r="H335" s="358"/>
      <c r="I335" s="304"/>
      <c r="J335" s="359"/>
      <c r="K335" s="359"/>
      <c r="L335" s="116"/>
      <c r="M335" s="358"/>
      <c r="N335" s="358"/>
      <c r="O335" s="304"/>
      <c r="P335" s="359"/>
      <c r="Q335" s="359"/>
      <c r="R335" s="116"/>
      <c r="S335" s="358"/>
      <c r="T335" s="358"/>
      <c r="U335" s="304"/>
      <c r="V335" s="359"/>
      <c r="W335" s="359"/>
      <c r="X335" s="117"/>
    </row>
    <row r="336" spans="1:24" s="8" customFormat="1" ht="15" customHeight="1">
      <c r="A336" s="103" t="s">
        <v>548</v>
      </c>
      <c r="B336" s="10" t="s">
        <v>291</v>
      </c>
      <c r="C336" s="176"/>
      <c r="D336" s="352">
        <f aca="true" t="shared" si="134" ref="D336:I336">SUM(D347+D340+D351)</f>
        <v>84502.331</v>
      </c>
      <c r="E336" s="352">
        <f t="shared" si="134"/>
        <v>52131.431</v>
      </c>
      <c r="F336" s="299">
        <f t="shared" si="134"/>
        <v>-32370.9</v>
      </c>
      <c r="G336" s="352">
        <f t="shared" si="134"/>
        <v>0</v>
      </c>
      <c r="H336" s="352">
        <f t="shared" si="134"/>
        <v>0</v>
      </c>
      <c r="I336" s="299">
        <f t="shared" si="134"/>
        <v>0</v>
      </c>
      <c r="J336" s="353"/>
      <c r="K336" s="410"/>
      <c r="L336" s="111"/>
      <c r="M336" s="352">
        <f>SUM(M347+M340+M351)</f>
        <v>0</v>
      </c>
      <c r="N336" s="352">
        <f>SUM(N347+N340+N351)</f>
        <v>0</v>
      </c>
      <c r="O336" s="299">
        <f>SUM(O347+O340+O351)</f>
        <v>0</v>
      </c>
      <c r="P336" s="353"/>
      <c r="Q336" s="410"/>
      <c r="R336" s="111"/>
      <c r="S336" s="352">
        <f>SUM(S347+S340+S351)</f>
        <v>0</v>
      </c>
      <c r="T336" s="352">
        <f>SUM(T347+T340+T351)</f>
        <v>0</v>
      </c>
      <c r="U336" s="299">
        <f>SUM(U347+U340+U351)</f>
        <v>0</v>
      </c>
      <c r="V336" s="353"/>
      <c r="W336" s="410"/>
      <c r="X336" s="95"/>
    </row>
    <row r="337" spans="1:24" s="8" customFormat="1" ht="15" customHeight="1">
      <c r="A337" s="103"/>
      <c r="B337" s="10"/>
      <c r="C337" s="176"/>
      <c r="D337" s="358"/>
      <c r="E337" s="358"/>
      <c r="F337" s="304"/>
      <c r="G337" s="358"/>
      <c r="H337" s="358"/>
      <c r="I337" s="304"/>
      <c r="J337" s="359"/>
      <c r="K337" s="359"/>
      <c r="L337" s="116"/>
      <c r="M337" s="358"/>
      <c r="N337" s="358"/>
      <c r="O337" s="304"/>
      <c r="P337" s="359"/>
      <c r="Q337" s="359"/>
      <c r="R337" s="116"/>
      <c r="S337" s="358"/>
      <c r="T337" s="358"/>
      <c r="U337" s="304"/>
      <c r="V337" s="359"/>
      <c r="W337" s="359"/>
      <c r="X337" s="117"/>
    </row>
    <row r="338" spans="1:24" s="8" customFormat="1" ht="101.25" customHeight="1">
      <c r="A338" s="103" t="s">
        <v>549</v>
      </c>
      <c r="B338" s="43" t="s">
        <v>317</v>
      </c>
      <c r="C338" s="187" t="s">
        <v>74</v>
      </c>
      <c r="D338" s="360">
        <f aca="true" t="shared" si="135" ref="D338:I338">SUM(D339:D340)</f>
        <v>24558.100000000002</v>
      </c>
      <c r="E338" s="360">
        <f t="shared" si="135"/>
        <v>24558.100000000002</v>
      </c>
      <c r="F338" s="308">
        <f t="shared" si="135"/>
        <v>0</v>
      </c>
      <c r="G338" s="360">
        <f t="shared" si="135"/>
        <v>2000</v>
      </c>
      <c r="H338" s="392">
        <f t="shared" si="135"/>
        <v>2000</v>
      </c>
      <c r="I338" s="308">
        <f t="shared" si="135"/>
        <v>0</v>
      </c>
      <c r="J338" s="411"/>
      <c r="K338" s="411"/>
      <c r="L338" s="190"/>
      <c r="M338" s="360">
        <f>SUM(M339:M340)</f>
        <v>2000</v>
      </c>
      <c r="N338" s="392">
        <f>SUM(N339:N340)</f>
        <v>2000</v>
      </c>
      <c r="O338" s="308">
        <f>SUM(O339:O340)</f>
        <v>0</v>
      </c>
      <c r="P338" s="411"/>
      <c r="Q338" s="411"/>
      <c r="R338" s="190"/>
      <c r="S338" s="360">
        <f>SUM(S339:S340)</f>
        <v>2000</v>
      </c>
      <c r="T338" s="392">
        <f>SUM(T339:T340)</f>
        <v>2000</v>
      </c>
      <c r="U338" s="308">
        <f>SUM(U339:U340)</f>
        <v>0</v>
      </c>
      <c r="V338" s="379"/>
      <c r="W338" s="379"/>
      <c r="X338" s="203"/>
    </row>
    <row r="339" spans="1:24" s="8" customFormat="1" ht="15" customHeight="1">
      <c r="A339" s="103" t="s">
        <v>550</v>
      </c>
      <c r="B339" s="10" t="s">
        <v>289</v>
      </c>
      <c r="C339" s="176"/>
      <c r="D339" s="398">
        <v>16443.4</v>
      </c>
      <c r="E339" s="398">
        <v>16443.4</v>
      </c>
      <c r="F339" s="387">
        <f>E339-D339</f>
        <v>0</v>
      </c>
      <c r="G339" s="398">
        <v>2000</v>
      </c>
      <c r="H339" s="398">
        <v>2000</v>
      </c>
      <c r="I339" s="387">
        <f>H339-G339</f>
        <v>0</v>
      </c>
      <c r="J339" s="399"/>
      <c r="K339" s="399"/>
      <c r="L339" s="389"/>
      <c r="M339" s="401">
        <v>2000</v>
      </c>
      <c r="N339" s="401">
        <v>2000</v>
      </c>
      <c r="O339" s="316">
        <f>N339-M339</f>
        <v>0</v>
      </c>
      <c r="P339" s="402"/>
      <c r="Q339" s="402"/>
      <c r="R339" s="117"/>
      <c r="S339" s="401">
        <v>2000</v>
      </c>
      <c r="T339" s="401">
        <v>2000</v>
      </c>
      <c r="U339" s="316">
        <f>T339-S339</f>
        <v>0</v>
      </c>
      <c r="V339" s="402"/>
      <c r="W339" s="402"/>
      <c r="X339" s="117"/>
    </row>
    <row r="340" spans="1:24" s="8" customFormat="1" ht="15" customHeight="1">
      <c r="A340" s="103" t="s">
        <v>551</v>
      </c>
      <c r="B340" s="11" t="s">
        <v>291</v>
      </c>
      <c r="C340" s="176"/>
      <c r="D340" s="398">
        <v>8114.7</v>
      </c>
      <c r="E340" s="398">
        <v>8114.7</v>
      </c>
      <c r="F340" s="387">
        <f>E340-D340</f>
        <v>0</v>
      </c>
      <c r="G340" s="398"/>
      <c r="H340" s="398"/>
      <c r="I340" s="387">
        <f>H340-G340</f>
        <v>0</v>
      </c>
      <c r="J340" s="399"/>
      <c r="K340" s="399"/>
      <c r="L340" s="389"/>
      <c r="M340" s="401"/>
      <c r="N340" s="401"/>
      <c r="O340" s="316">
        <f>N340-M340</f>
        <v>0</v>
      </c>
      <c r="P340" s="402"/>
      <c r="Q340" s="402"/>
      <c r="R340" s="117"/>
      <c r="S340" s="401"/>
      <c r="T340" s="401"/>
      <c r="U340" s="316">
        <f>T340-S340</f>
        <v>0</v>
      </c>
      <c r="V340" s="402"/>
      <c r="W340" s="402"/>
      <c r="X340" s="117"/>
    </row>
    <row r="341" spans="1:24" s="8" customFormat="1" ht="15" customHeight="1">
      <c r="A341" s="103"/>
      <c r="B341" s="11"/>
      <c r="C341" s="176"/>
      <c r="D341" s="398"/>
      <c r="E341" s="398"/>
      <c r="F341" s="387"/>
      <c r="G341" s="398"/>
      <c r="H341" s="398"/>
      <c r="I341" s="387"/>
      <c r="J341" s="399"/>
      <c r="K341" s="399"/>
      <c r="L341" s="389"/>
      <c r="M341" s="401"/>
      <c r="N341" s="401"/>
      <c r="O341" s="316"/>
      <c r="P341" s="402"/>
      <c r="Q341" s="402"/>
      <c r="R341" s="117"/>
      <c r="S341" s="401"/>
      <c r="T341" s="401"/>
      <c r="U341" s="316"/>
      <c r="V341" s="402"/>
      <c r="W341" s="402"/>
      <c r="X341" s="117"/>
    </row>
    <row r="342" spans="1:24" s="8" customFormat="1" ht="103.5" customHeight="1">
      <c r="A342" s="103" t="s">
        <v>552</v>
      </c>
      <c r="B342" s="43" t="s">
        <v>322</v>
      </c>
      <c r="C342" s="187" t="s">
        <v>75</v>
      </c>
      <c r="D342" s="360">
        <f aca="true" t="shared" si="136" ref="D342:I342">SUM(D343:D343)</f>
        <v>13208.3</v>
      </c>
      <c r="E342" s="360">
        <f t="shared" si="136"/>
        <v>13208.3</v>
      </c>
      <c r="F342" s="308">
        <f t="shared" si="136"/>
        <v>0</v>
      </c>
      <c r="G342" s="360">
        <f t="shared" si="136"/>
        <v>2000</v>
      </c>
      <c r="H342" s="360">
        <f t="shared" si="136"/>
        <v>2000</v>
      </c>
      <c r="I342" s="308">
        <f t="shared" si="136"/>
        <v>0</v>
      </c>
      <c r="J342" s="411"/>
      <c r="K342" s="411"/>
      <c r="L342" s="190"/>
      <c r="M342" s="360">
        <f>SUM(M343:M343)</f>
        <v>2000</v>
      </c>
      <c r="N342" s="360">
        <f>SUM(N343:N343)</f>
        <v>2000</v>
      </c>
      <c r="O342" s="308">
        <f>SUM(O343:O343)</f>
        <v>0</v>
      </c>
      <c r="P342" s="411"/>
      <c r="Q342" s="411"/>
      <c r="R342" s="190"/>
      <c r="S342" s="360">
        <f>SUM(S343:S343)</f>
        <v>2000</v>
      </c>
      <c r="T342" s="360">
        <f>SUM(T343:T343)</f>
        <v>2000</v>
      </c>
      <c r="U342" s="308">
        <f>SUM(U343:U343)</f>
        <v>0</v>
      </c>
      <c r="V342" s="379"/>
      <c r="W342" s="379"/>
      <c r="X342" s="203"/>
    </row>
    <row r="343" spans="1:24" s="8" customFormat="1" ht="15" customHeight="1">
      <c r="A343" s="103" t="s">
        <v>553</v>
      </c>
      <c r="B343" s="10" t="s">
        <v>289</v>
      </c>
      <c r="C343" s="176"/>
      <c r="D343" s="398">
        <v>13208.3</v>
      </c>
      <c r="E343" s="398">
        <v>13208.3</v>
      </c>
      <c r="F343" s="387">
        <f>E343-D343</f>
        <v>0</v>
      </c>
      <c r="G343" s="398">
        <v>2000</v>
      </c>
      <c r="H343" s="398">
        <v>2000</v>
      </c>
      <c r="I343" s="387">
        <f>H343-G343</f>
        <v>0</v>
      </c>
      <c r="J343" s="399"/>
      <c r="K343" s="399"/>
      <c r="L343" s="389"/>
      <c r="M343" s="398">
        <v>2000</v>
      </c>
      <c r="N343" s="398">
        <v>2000</v>
      </c>
      <c r="O343" s="387">
        <f>N343-M343</f>
        <v>0</v>
      </c>
      <c r="P343" s="399"/>
      <c r="Q343" s="399"/>
      <c r="R343" s="389"/>
      <c r="S343" s="398">
        <v>2000</v>
      </c>
      <c r="T343" s="398">
        <v>2000</v>
      </c>
      <c r="U343" s="387">
        <f>T343-S343</f>
        <v>0</v>
      </c>
      <c r="V343" s="399"/>
      <c r="W343" s="399"/>
      <c r="X343" s="389"/>
    </row>
    <row r="344" spans="1:24" s="8" customFormat="1" ht="15" customHeight="1">
      <c r="A344" s="103"/>
      <c r="B344" s="10"/>
      <c r="C344" s="176"/>
      <c r="D344" s="398"/>
      <c r="E344" s="398"/>
      <c r="F344" s="387"/>
      <c r="G344" s="398"/>
      <c r="H344" s="398"/>
      <c r="I344" s="387"/>
      <c r="J344" s="399"/>
      <c r="K344" s="399"/>
      <c r="L344" s="389"/>
      <c r="M344" s="398"/>
      <c r="N344" s="398"/>
      <c r="O344" s="387"/>
      <c r="P344" s="399"/>
      <c r="Q344" s="399"/>
      <c r="R344" s="389"/>
      <c r="S344" s="398"/>
      <c r="T344" s="398"/>
      <c r="U344" s="387"/>
      <c r="V344" s="399"/>
      <c r="W344" s="399"/>
      <c r="X344" s="389"/>
    </row>
    <row r="345" spans="1:24" s="8" customFormat="1" ht="65.25" customHeight="1">
      <c r="A345" s="103" t="s">
        <v>554</v>
      </c>
      <c r="B345" s="43" t="s">
        <v>318</v>
      </c>
      <c r="C345" s="187" t="s">
        <v>76</v>
      </c>
      <c r="D345" s="360">
        <f aca="true" t="shared" si="137" ref="D345:I345">SUM(D346:D347)</f>
        <v>106441.626</v>
      </c>
      <c r="E345" s="360">
        <f t="shared" si="137"/>
        <v>77070.726</v>
      </c>
      <c r="F345" s="308">
        <f t="shared" si="137"/>
        <v>-29370.9</v>
      </c>
      <c r="G345" s="392">
        <f t="shared" si="137"/>
        <v>4500</v>
      </c>
      <c r="H345" s="392">
        <f t="shared" si="137"/>
        <v>5500</v>
      </c>
      <c r="I345" s="308">
        <f t="shared" si="137"/>
        <v>1000</v>
      </c>
      <c r="J345" s="379" t="s">
        <v>114</v>
      </c>
      <c r="K345" s="379" t="s">
        <v>114</v>
      </c>
      <c r="L345" s="203" t="s">
        <v>115</v>
      </c>
      <c r="M345" s="392">
        <f>SUM(M346:M347)</f>
        <v>4500</v>
      </c>
      <c r="N345" s="392">
        <f>SUM(N346:N347)</f>
        <v>5500</v>
      </c>
      <c r="O345" s="308">
        <f>SUM(O346:O347)</f>
        <v>1000</v>
      </c>
      <c r="P345" s="367" t="s">
        <v>114</v>
      </c>
      <c r="Q345" s="367" t="s">
        <v>114</v>
      </c>
      <c r="R345" s="225" t="s">
        <v>115</v>
      </c>
      <c r="S345" s="392">
        <f>SUM(S346:S347)</f>
        <v>4500</v>
      </c>
      <c r="T345" s="392">
        <f>SUM(T346:T347)</f>
        <v>5500</v>
      </c>
      <c r="U345" s="308">
        <f>SUM(U346:U347)</f>
        <v>1000</v>
      </c>
      <c r="V345" s="367" t="s">
        <v>207</v>
      </c>
      <c r="W345" s="367" t="s">
        <v>207</v>
      </c>
      <c r="X345" s="225" t="s">
        <v>115</v>
      </c>
    </row>
    <row r="346" spans="1:24" s="8" customFormat="1" ht="15" customHeight="1">
      <c r="A346" s="103" t="s">
        <v>555</v>
      </c>
      <c r="B346" s="10" t="s">
        <v>289</v>
      </c>
      <c r="C346" s="176"/>
      <c r="D346" s="398">
        <f>30935.326+657</f>
        <v>31592.326</v>
      </c>
      <c r="E346" s="398">
        <v>34592.326</v>
      </c>
      <c r="F346" s="387">
        <f>E346-D346</f>
        <v>3000</v>
      </c>
      <c r="G346" s="398">
        <v>4500</v>
      </c>
      <c r="H346" s="398">
        <v>5500</v>
      </c>
      <c r="I346" s="387">
        <f>H346-G346</f>
        <v>1000</v>
      </c>
      <c r="J346" s="399"/>
      <c r="K346" s="399"/>
      <c r="L346" s="389"/>
      <c r="M346" s="358">
        <v>4500</v>
      </c>
      <c r="N346" s="358">
        <v>5500</v>
      </c>
      <c r="O346" s="304">
        <f>N346-M346</f>
        <v>1000</v>
      </c>
      <c r="P346" s="359"/>
      <c r="Q346" s="359"/>
      <c r="R346" s="116"/>
      <c r="S346" s="358">
        <v>4500</v>
      </c>
      <c r="T346" s="358">
        <v>5500</v>
      </c>
      <c r="U346" s="304">
        <f>T346-S346</f>
        <v>1000</v>
      </c>
      <c r="V346" s="359"/>
      <c r="W346" s="359"/>
      <c r="X346" s="116"/>
    </row>
    <row r="347" spans="1:24" s="8" customFormat="1" ht="15" customHeight="1">
      <c r="A347" s="103" t="s">
        <v>556</v>
      </c>
      <c r="B347" s="10" t="s">
        <v>291</v>
      </c>
      <c r="C347" s="176"/>
      <c r="D347" s="386">
        <v>74849.3</v>
      </c>
      <c r="E347" s="386">
        <v>42478.4</v>
      </c>
      <c r="F347" s="387">
        <f>E347-D347</f>
        <v>-32370.9</v>
      </c>
      <c r="G347" s="386"/>
      <c r="H347" s="386"/>
      <c r="I347" s="387">
        <f>H347-G347</f>
        <v>0</v>
      </c>
      <c r="J347" s="399"/>
      <c r="K347" s="399"/>
      <c r="L347" s="389"/>
      <c r="M347" s="352"/>
      <c r="N347" s="352"/>
      <c r="O347" s="304">
        <f>N347-M347</f>
        <v>0</v>
      </c>
      <c r="P347" s="359"/>
      <c r="Q347" s="359"/>
      <c r="R347" s="116"/>
      <c r="S347" s="352"/>
      <c r="T347" s="352"/>
      <c r="U347" s="304">
        <f>T347-S347</f>
        <v>0</v>
      </c>
      <c r="V347" s="359"/>
      <c r="W347" s="359"/>
      <c r="X347" s="116"/>
    </row>
    <row r="348" spans="1:24" s="8" customFormat="1" ht="15" customHeight="1">
      <c r="A348" s="103"/>
      <c r="B348" s="10"/>
      <c r="C348" s="176"/>
      <c r="D348" s="386"/>
      <c r="E348" s="386"/>
      <c r="F348" s="390"/>
      <c r="G348" s="386"/>
      <c r="H348" s="386"/>
      <c r="I348" s="390"/>
      <c r="J348" s="399"/>
      <c r="K348" s="399"/>
      <c r="L348" s="391"/>
      <c r="M348" s="352"/>
      <c r="N348" s="352"/>
      <c r="O348" s="299"/>
      <c r="P348" s="359"/>
      <c r="Q348" s="359"/>
      <c r="R348" s="111"/>
      <c r="S348" s="352"/>
      <c r="T348" s="352"/>
      <c r="U348" s="299"/>
      <c r="V348" s="359"/>
      <c r="W348" s="359"/>
      <c r="X348" s="111"/>
    </row>
    <row r="349" spans="1:24" s="8" customFormat="1" ht="77.25" customHeight="1">
      <c r="A349" s="103" t="s">
        <v>557</v>
      </c>
      <c r="B349" s="43" t="s">
        <v>279</v>
      </c>
      <c r="C349" s="187" t="s">
        <v>74</v>
      </c>
      <c r="D349" s="360">
        <f aca="true" t="shared" si="138" ref="D349:I349">SUM(D350:D351)</f>
        <v>13891.921</v>
      </c>
      <c r="E349" s="360">
        <f t="shared" si="138"/>
        <v>15984.821</v>
      </c>
      <c r="F349" s="308">
        <f t="shared" si="138"/>
        <v>2092.8999999999996</v>
      </c>
      <c r="G349" s="360">
        <f t="shared" si="138"/>
        <v>2123</v>
      </c>
      <c r="H349" s="360">
        <f t="shared" si="138"/>
        <v>2208.2</v>
      </c>
      <c r="I349" s="308">
        <f t="shared" si="138"/>
        <v>85.19999999999982</v>
      </c>
      <c r="J349" s="379" t="s">
        <v>208</v>
      </c>
      <c r="K349" s="379" t="s">
        <v>208</v>
      </c>
      <c r="L349" s="203" t="s">
        <v>209</v>
      </c>
      <c r="M349" s="360">
        <f>SUM(M350:M351)</f>
        <v>1430</v>
      </c>
      <c r="N349" s="360">
        <f>SUM(N350:N351)</f>
        <v>2410.2</v>
      </c>
      <c r="O349" s="308">
        <f>SUM(O350:O351)</f>
        <v>980.1999999999998</v>
      </c>
      <c r="P349" s="412" t="s">
        <v>210</v>
      </c>
      <c r="Q349" s="412" t="s">
        <v>210</v>
      </c>
      <c r="R349" s="294" t="s">
        <v>209</v>
      </c>
      <c r="S349" s="360">
        <f>SUM(S350:S351)</f>
        <v>1430</v>
      </c>
      <c r="T349" s="360">
        <f>SUM(T350:T351)</f>
        <v>2457.5</v>
      </c>
      <c r="U349" s="308">
        <f>SUM(U350:U351)</f>
        <v>1027.5</v>
      </c>
      <c r="V349" s="412" t="s">
        <v>243</v>
      </c>
      <c r="W349" s="412" t="s">
        <v>243</v>
      </c>
      <c r="X349" s="294" t="s">
        <v>209</v>
      </c>
    </row>
    <row r="350" spans="1:24" s="8" customFormat="1" ht="15" customHeight="1">
      <c r="A350" s="103" t="s">
        <v>558</v>
      </c>
      <c r="B350" s="10" t="s">
        <v>289</v>
      </c>
      <c r="C350" s="176"/>
      <c r="D350" s="398">
        <v>12353.59</v>
      </c>
      <c r="E350" s="398">
        <v>14446.49</v>
      </c>
      <c r="F350" s="387">
        <f>E350-D350</f>
        <v>2092.8999999999996</v>
      </c>
      <c r="G350" s="398">
        <v>2123</v>
      </c>
      <c r="H350" s="398">
        <v>2208.2</v>
      </c>
      <c r="I350" s="387">
        <f>H350-G350</f>
        <v>85.19999999999982</v>
      </c>
      <c r="J350" s="399"/>
      <c r="K350" s="399"/>
      <c r="L350" s="389"/>
      <c r="M350" s="358">
        <v>1430</v>
      </c>
      <c r="N350" s="358">
        <v>2410.2</v>
      </c>
      <c r="O350" s="304">
        <f>N350-M350</f>
        <v>980.1999999999998</v>
      </c>
      <c r="P350" s="359"/>
      <c r="Q350" s="359"/>
      <c r="R350" s="116"/>
      <c r="S350" s="358">
        <v>1430</v>
      </c>
      <c r="T350" s="358">
        <v>2457.5</v>
      </c>
      <c r="U350" s="304">
        <f>T350-S350</f>
        <v>1027.5</v>
      </c>
      <c r="V350" s="359"/>
      <c r="W350" s="359"/>
      <c r="X350" s="116"/>
    </row>
    <row r="351" spans="1:24" s="8" customFormat="1" ht="15" customHeight="1">
      <c r="A351" s="103" t="s">
        <v>559</v>
      </c>
      <c r="B351" s="10" t="s">
        <v>291</v>
      </c>
      <c r="C351" s="176"/>
      <c r="D351" s="398">
        <v>1538.331</v>
      </c>
      <c r="E351" s="398">
        <v>1538.331</v>
      </c>
      <c r="F351" s="387">
        <f>E351-D351</f>
        <v>0</v>
      </c>
      <c r="G351" s="398"/>
      <c r="H351" s="398"/>
      <c r="I351" s="387">
        <f>H351-G351</f>
        <v>0</v>
      </c>
      <c r="J351" s="399"/>
      <c r="K351" s="399"/>
      <c r="L351" s="389"/>
      <c r="M351" s="358"/>
      <c r="N351" s="358"/>
      <c r="O351" s="304">
        <f>N351-M351</f>
        <v>0</v>
      </c>
      <c r="P351" s="359"/>
      <c r="Q351" s="359"/>
      <c r="R351" s="116"/>
      <c r="S351" s="358"/>
      <c r="T351" s="358"/>
      <c r="U351" s="304">
        <f>T351-S351</f>
        <v>0</v>
      </c>
      <c r="V351" s="359"/>
      <c r="W351" s="359"/>
      <c r="X351" s="116"/>
    </row>
    <row r="352" spans="1:24" s="8" customFormat="1" ht="15" customHeight="1">
      <c r="A352" s="104"/>
      <c r="B352" s="10"/>
      <c r="C352" s="172"/>
      <c r="D352" s="398"/>
      <c r="E352" s="398"/>
      <c r="F352" s="387"/>
      <c r="G352" s="398"/>
      <c r="H352" s="398"/>
      <c r="I352" s="387"/>
      <c r="J352" s="399"/>
      <c r="K352" s="399"/>
      <c r="L352" s="389"/>
      <c r="M352" s="302"/>
      <c r="N352" s="303"/>
      <c r="O352" s="316"/>
      <c r="P352" s="265"/>
      <c r="Q352" s="279"/>
      <c r="R352" s="117"/>
      <c r="S352" s="302"/>
      <c r="T352" s="303"/>
      <c r="U352" s="316"/>
      <c r="V352" s="265"/>
      <c r="W352" s="279"/>
      <c r="X352" s="117"/>
    </row>
    <row r="353" spans="1:24" s="7" customFormat="1" ht="30.75" customHeight="1">
      <c r="A353" s="165"/>
      <c r="B353" s="230"/>
      <c r="C353" s="231"/>
      <c r="D353" s="429" t="s">
        <v>343</v>
      </c>
      <c r="E353" s="430"/>
      <c r="F353" s="430"/>
      <c r="G353" s="430"/>
      <c r="H353" s="430"/>
      <c r="I353" s="430"/>
      <c r="J353" s="430"/>
      <c r="K353" s="430"/>
      <c r="L353" s="431"/>
      <c r="M353" s="429" t="s">
        <v>343</v>
      </c>
      <c r="N353" s="430"/>
      <c r="O353" s="430"/>
      <c r="P353" s="430"/>
      <c r="Q353" s="430"/>
      <c r="R353" s="430"/>
      <c r="S353" s="430"/>
      <c r="T353" s="430"/>
      <c r="U353" s="430"/>
      <c r="V353" s="430"/>
      <c r="W353" s="430"/>
      <c r="X353" s="430"/>
    </row>
    <row r="354" spans="1:24" s="8" customFormat="1" ht="15.75">
      <c r="A354" s="103" t="s">
        <v>560</v>
      </c>
      <c r="B354" s="43" t="s">
        <v>324</v>
      </c>
      <c r="C354" s="172"/>
      <c r="D354" s="360">
        <f aca="true" t="shared" si="139" ref="D354:I354">SUM(D355:D357)</f>
        <v>226269.73200000002</v>
      </c>
      <c r="E354" s="360">
        <f t="shared" si="139"/>
        <v>228649.932</v>
      </c>
      <c r="F354" s="308">
        <f t="shared" si="139"/>
        <v>2380.200000000008</v>
      </c>
      <c r="G354" s="360">
        <f t="shared" si="139"/>
        <v>32769</v>
      </c>
      <c r="H354" s="360">
        <f t="shared" si="139"/>
        <v>33225.3</v>
      </c>
      <c r="I354" s="308">
        <f t="shared" si="139"/>
        <v>456.30000000000155</v>
      </c>
      <c r="J354" s="361"/>
      <c r="K354" s="361"/>
      <c r="L354" s="115"/>
      <c r="M354" s="360">
        <f>SUM(M355:M357)</f>
        <v>34340</v>
      </c>
      <c r="N354" s="360">
        <f>SUM(N355:N357)</f>
        <v>33759.700000000004</v>
      </c>
      <c r="O354" s="308">
        <f>SUM(O355:O357)</f>
        <v>-580.2999999999988</v>
      </c>
      <c r="P354" s="361"/>
      <c r="Q354" s="361"/>
      <c r="R354" s="115"/>
      <c r="S354" s="360">
        <f>SUM(S355:S357)</f>
        <v>32090</v>
      </c>
      <c r="T354" s="360">
        <f>SUM(T355:T357)</f>
        <v>34594.2</v>
      </c>
      <c r="U354" s="308">
        <f>SUM(U355:U357)</f>
        <v>2504.199999999999</v>
      </c>
      <c r="V354" s="361"/>
      <c r="W354" s="361"/>
      <c r="X354" s="115"/>
    </row>
    <row r="355" spans="1:24" s="8" customFormat="1" ht="15" customHeight="1">
      <c r="A355" s="103" t="s">
        <v>561</v>
      </c>
      <c r="B355" s="10" t="s">
        <v>289</v>
      </c>
      <c r="C355" s="176"/>
      <c r="D355" s="358">
        <f aca="true" t="shared" si="140" ref="D355:I355">SUM(D361+D379)</f>
        <v>225519.73200000002</v>
      </c>
      <c r="E355" s="358">
        <f t="shared" si="140"/>
        <v>227899.932</v>
      </c>
      <c r="F355" s="299">
        <f t="shared" si="140"/>
        <v>2380.200000000008</v>
      </c>
      <c r="G355" s="358">
        <f t="shared" si="140"/>
        <v>32769</v>
      </c>
      <c r="H355" s="352">
        <f t="shared" si="140"/>
        <v>33225.3</v>
      </c>
      <c r="I355" s="299">
        <f t="shared" si="140"/>
        <v>456.30000000000155</v>
      </c>
      <c r="J355" s="359"/>
      <c r="K355" s="359"/>
      <c r="L355" s="111"/>
      <c r="M355" s="358">
        <f>SUM(M361+M379)</f>
        <v>34340</v>
      </c>
      <c r="N355" s="352">
        <f>SUM(N361+N379)</f>
        <v>33759.700000000004</v>
      </c>
      <c r="O355" s="299">
        <f>SUM(O361+O379)</f>
        <v>-580.2999999999988</v>
      </c>
      <c r="P355" s="359"/>
      <c r="Q355" s="359"/>
      <c r="R355" s="111"/>
      <c r="S355" s="358">
        <f>SUM(S361+S379)</f>
        <v>32090</v>
      </c>
      <c r="T355" s="352">
        <f>SUM(T361+T379)</f>
        <v>34594.2</v>
      </c>
      <c r="U355" s="299">
        <f>SUM(U361+U379)</f>
        <v>2504.199999999999</v>
      </c>
      <c r="V355" s="359"/>
      <c r="W355" s="359"/>
      <c r="X355" s="111"/>
    </row>
    <row r="356" spans="1:24" s="8" customFormat="1" ht="15" customHeight="1">
      <c r="A356" s="103" t="s">
        <v>562</v>
      </c>
      <c r="B356" s="10" t="s">
        <v>290</v>
      </c>
      <c r="C356" s="176"/>
      <c r="D356" s="358"/>
      <c r="E356" s="358"/>
      <c r="F356" s="304"/>
      <c r="G356" s="358"/>
      <c r="H356" s="358"/>
      <c r="I356" s="304"/>
      <c r="J356" s="359"/>
      <c r="K356" s="359"/>
      <c r="L356" s="116"/>
      <c r="M356" s="358"/>
      <c r="N356" s="358"/>
      <c r="O356" s="304"/>
      <c r="P356" s="359"/>
      <c r="Q356" s="359"/>
      <c r="R356" s="116"/>
      <c r="S356" s="358"/>
      <c r="T356" s="358"/>
      <c r="U356" s="304"/>
      <c r="V356" s="359"/>
      <c r="W356" s="359"/>
      <c r="X356" s="116"/>
    </row>
    <row r="357" spans="1:24" s="8" customFormat="1" ht="15" customHeight="1">
      <c r="A357" s="103" t="s">
        <v>563</v>
      </c>
      <c r="B357" s="10" t="s">
        <v>291</v>
      </c>
      <c r="C357" s="176"/>
      <c r="D357" s="358">
        <f aca="true" t="shared" si="141" ref="D357:I357">SUM(D363)</f>
        <v>750</v>
      </c>
      <c r="E357" s="358">
        <f t="shared" si="141"/>
        <v>750</v>
      </c>
      <c r="F357" s="304">
        <f t="shared" si="141"/>
        <v>0</v>
      </c>
      <c r="G357" s="358">
        <f t="shared" si="141"/>
        <v>0</v>
      </c>
      <c r="H357" s="358">
        <f t="shared" si="141"/>
        <v>0</v>
      </c>
      <c r="I357" s="304">
        <f t="shared" si="141"/>
        <v>0</v>
      </c>
      <c r="J357" s="359"/>
      <c r="K357" s="359"/>
      <c r="L357" s="116"/>
      <c r="M357" s="358">
        <f>SUM(M363)</f>
        <v>0</v>
      </c>
      <c r="N357" s="358">
        <f>SUM(N363)</f>
        <v>0</v>
      </c>
      <c r="O357" s="304">
        <f>SUM(O363)</f>
        <v>0</v>
      </c>
      <c r="P357" s="359"/>
      <c r="Q357" s="359"/>
      <c r="R357" s="116"/>
      <c r="S357" s="358">
        <f>SUM(S363)</f>
        <v>0</v>
      </c>
      <c r="T357" s="358">
        <f>SUM(T363)</f>
        <v>0</v>
      </c>
      <c r="U357" s="304">
        <f>SUM(U363)</f>
        <v>0</v>
      </c>
      <c r="V357" s="359"/>
      <c r="W357" s="359"/>
      <c r="X357" s="116"/>
    </row>
    <row r="358" spans="1:24" s="8" customFormat="1" ht="15" customHeight="1">
      <c r="A358" s="103"/>
      <c r="B358" s="10"/>
      <c r="C358" s="176"/>
      <c r="D358" s="358"/>
      <c r="E358" s="358"/>
      <c r="F358" s="304"/>
      <c r="G358" s="358"/>
      <c r="H358" s="358"/>
      <c r="I358" s="304"/>
      <c r="J358" s="359"/>
      <c r="K358" s="359"/>
      <c r="L358" s="116"/>
      <c r="M358" s="358"/>
      <c r="N358" s="358"/>
      <c r="O358" s="304"/>
      <c r="P358" s="359"/>
      <c r="Q358" s="359"/>
      <c r="R358" s="116"/>
      <c r="S358" s="358"/>
      <c r="T358" s="358"/>
      <c r="U358" s="304"/>
      <c r="V358" s="359"/>
      <c r="W358" s="359"/>
      <c r="X358" s="116"/>
    </row>
    <row r="359" spans="1:24" s="8" customFormat="1" ht="15" customHeight="1">
      <c r="A359" s="166"/>
      <c r="B359" s="232"/>
      <c r="C359" s="233"/>
      <c r="D359" s="432" t="s">
        <v>293</v>
      </c>
      <c r="E359" s="433"/>
      <c r="F359" s="433"/>
      <c r="G359" s="433"/>
      <c r="H359" s="433"/>
      <c r="I359" s="433"/>
      <c r="J359" s="433"/>
      <c r="K359" s="433"/>
      <c r="L359" s="434"/>
      <c r="M359" s="432" t="s">
        <v>293</v>
      </c>
      <c r="N359" s="433"/>
      <c r="O359" s="433"/>
      <c r="P359" s="433"/>
      <c r="Q359" s="433"/>
      <c r="R359" s="433"/>
      <c r="S359" s="433"/>
      <c r="T359" s="433"/>
      <c r="U359" s="433"/>
      <c r="V359" s="433"/>
      <c r="W359" s="433"/>
      <c r="X359" s="433"/>
    </row>
    <row r="360" spans="1:24" s="8" customFormat="1" ht="36" customHeight="1">
      <c r="A360" s="103" t="s">
        <v>564</v>
      </c>
      <c r="B360" s="43" t="s">
        <v>316</v>
      </c>
      <c r="C360" s="176"/>
      <c r="D360" s="362">
        <f aca="true" t="shared" si="142" ref="D360:I360">SUM(D361:D363)</f>
        <v>5250</v>
      </c>
      <c r="E360" s="362">
        <f t="shared" si="142"/>
        <v>5605</v>
      </c>
      <c r="F360" s="309">
        <f t="shared" si="142"/>
        <v>355</v>
      </c>
      <c r="G360" s="362">
        <f t="shared" si="142"/>
        <v>0</v>
      </c>
      <c r="H360" s="362">
        <f t="shared" si="142"/>
        <v>1505</v>
      </c>
      <c r="I360" s="309">
        <f t="shared" si="142"/>
        <v>1505</v>
      </c>
      <c r="J360" s="363"/>
      <c r="K360" s="363"/>
      <c r="L360" s="97"/>
      <c r="M360" s="362">
        <f>SUM(M361:M363)</f>
        <v>2250</v>
      </c>
      <c r="N360" s="362">
        <f>SUM(N361:N363)</f>
        <v>0</v>
      </c>
      <c r="O360" s="309">
        <f>SUM(O361:O363)</f>
        <v>-2250</v>
      </c>
      <c r="P360" s="363"/>
      <c r="Q360" s="363"/>
      <c r="R360" s="97"/>
      <c r="S360" s="362">
        <f>SUM(S361:S363)</f>
        <v>0</v>
      </c>
      <c r="T360" s="362">
        <f>SUM(T361:T363)</f>
        <v>1100</v>
      </c>
      <c r="U360" s="309">
        <f>SUM(U361:U363)</f>
        <v>1100</v>
      </c>
      <c r="V360" s="363"/>
      <c r="W360" s="363"/>
      <c r="X360" s="97"/>
    </row>
    <row r="361" spans="1:24" s="8" customFormat="1" ht="15" customHeight="1">
      <c r="A361" s="103" t="s">
        <v>565</v>
      </c>
      <c r="B361" s="10" t="s">
        <v>289</v>
      </c>
      <c r="C361" s="176"/>
      <c r="D361" s="358">
        <f aca="true" t="shared" si="143" ref="D361:I361">SUM(D367+D371+D374)</f>
        <v>4500</v>
      </c>
      <c r="E361" s="358">
        <f t="shared" si="143"/>
        <v>4855</v>
      </c>
      <c r="F361" s="304">
        <f t="shared" si="143"/>
        <v>355</v>
      </c>
      <c r="G361" s="358">
        <f t="shared" si="143"/>
        <v>0</v>
      </c>
      <c r="H361" s="358">
        <f t="shared" si="143"/>
        <v>1505</v>
      </c>
      <c r="I361" s="304">
        <f t="shared" si="143"/>
        <v>1505</v>
      </c>
      <c r="J361" s="359"/>
      <c r="K361" s="359"/>
      <c r="L361" s="116"/>
      <c r="M361" s="358">
        <f>SUM(M367+M371+M374)</f>
        <v>2250</v>
      </c>
      <c r="N361" s="358">
        <f>SUM(N367+N371+N374)</f>
        <v>0</v>
      </c>
      <c r="O361" s="304">
        <f>SUM(O367+O371+O374)</f>
        <v>-2250</v>
      </c>
      <c r="P361" s="359"/>
      <c r="Q361" s="359"/>
      <c r="R361" s="116"/>
      <c r="S361" s="358">
        <f>SUM(S367+S371+S374)</f>
        <v>0</v>
      </c>
      <c r="T361" s="358">
        <f>SUM(T367+T371+T374)</f>
        <v>1100</v>
      </c>
      <c r="U361" s="304">
        <f>SUM(U367+U371+U374)</f>
        <v>1100</v>
      </c>
      <c r="V361" s="359"/>
      <c r="W361" s="359"/>
      <c r="X361" s="116"/>
    </row>
    <row r="362" spans="1:24" s="8" customFormat="1" ht="15" customHeight="1">
      <c r="A362" s="103" t="s">
        <v>566</v>
      </c>
      <c r="B362" s="10" t="s">
        <v>290</v>
      </c>
      <c r="C362" s="176"/>
      <c r="D362" s="358"/>
      <c r="E362" s="358"/>
      <c r="F362" s="304"/>
      <c r="G362" s="358"/>
      <c r="H362" s="358"/>
      <c r="I362" s="304"/>
      <c r="J362" s="359"/>
      <c r="K362" s="359"/>
      <c r="L362" s="116"/>
      <c r="M362" s="358"/>
      <c r="N362" s="358"/>
      <c r="O362" s="304"/>
      <c r="P362" s="359"/>
      <c r="Q362" s="359"/>
      <c r="R362" s="116"/>
      <c r="S362" s="358"/>
      <c r="T362" s="358"/>
      <c r="U362" s="304"/>
      <c r="V362" s="359"/>
      <c r="W362" s="359"/>
      <c r="X362" s="116"/>
    </row>
    <row r="363" spans="1:24" s="8" customFormat="1" ht="15" customHeight="1">
      <c r="A363" s="103" t="s">
        <v>567</v>
      </c>
      <c r="B363" s="10" t="s">
        <v>291</v>
      </c>
      <c r="C363" s="176"/>
      <c r="D363" s="358">
        <f aca="true" t="shared" si="144" ref="D363:I363">SUM(D375)</f>
        <v>750</v>
      </c>
      <c r="E363" s="358">
        <f t="shared" si="144"/>
        <v>750</v>
      </c>
      <c r="F363" s="304">
        <f t="shared" si="144"/>
        <v>0</v>
      </c>
      <c r="G363" s="358">
        <f t="shared" si="144"/>
        <v>0</v>
      </c>
      <c r="H363" s="358">
        <f t="shared" si="144"/>
        <v>0</v>
      </c>
      <c r="I363" s="304">
        <f t="shared" si="144"/>
        <v>0</v>
      </c>
      <c r="J363" s="359"/>
      <c r="K363" s="359"/>
      <c r="L363" s="116"/>
      <c r="M363" s="358">
        <f>SUM(M375)</f>
        <v>0</v>
      </c>
      <c r="N363" s="358">
        <f>SUM(N375)</f>
        <v>0</v>
      </c>
      <c r="O363" s="304">
        <f>SUM(O375)</f>
        <v>0</v>
      </c>
      <c r="P363" s="359"/>
      <c r="Q363" s="359"/>
      <c r="R363" s="116"/>
      <c r="S363" s="358">
        <f>SUM(S375)</f>
        <v>0</v>
      </c>
      <c r="T363" s="358">
        <f>SUM(T375)</f>
        <v>0</v>
      </c>
      <c r="U363" s="304">
        <f>SUM(U375)</f>
        <v>0</v>
      </c>
      <c r="V363" s="359"/>
      <c r="W363" s="359"/>
      <c r="X363" s="116"/>
    </row>
    <row r="364" spans="1:24" s="8" customFormat="1" ht="15" customHeight="1">
      <c r="A364" s="104"/>
      <c r="B364" s="5"/>
      <c r="C364" s="176"/>
      <c r="D364" s="358"/>
      <c r="E364" s="358"/>
      <c r="F364" s="304"/>
      <c r="G364" s="358"/>
      <c r="H364" s="358"/>
      <c r="I364" s="304"/>
      <c r="J364" s="359"/>
      <c r="K364" s="359"/>
      <c r="L364" s="116"/>
      <c r="M364" s="358"/>
      <c r="N364" s="358"/>
      <c r="O364" s="304"/>
      <c r="P364" s="359"/>
      <c r="Q364" s="359"/>
      <c r="R364" s="116"/>
      <c r="S364" s="358"/>
      <c r="T364" s="358"/>
      <c r="U364" s="304"/>
      <c r="V364" s="359"/>
      <c r="W364" s="359"/>
      <c r="X364" s="116"/>
    </row>
    <row r="365" spans="1:24" s="8" customFormat="1" ht="15" customHeight="1">
      <c r="A365" s="167"/>
      <c r="B365" s="234"/>
      <c r="C365" s="235"/>
      <c r="D365" s="420" t="s">
        <v>294</v>
      </c>
      <c r="E365" s="421"/>
      <c r="F365" s="421"/>
      <c r="G365" s="421"/>
      <c r="H365" s="421"/>
      <c r="I365" s="421"/>
      <c r="J365" s="421"/>
      <c r="K365" s="421"/>
      <c r="L365" s="422"/>
      <c r="M365" s="420" t="s">
        <v>294</v>
      </c>
      <c r="N365" s="421"/>
      <c r="O365" s="421"/>
      <c r="P365" s="421"/>
      <c r="Q365" s="421"/>
      <c r="R365" s="421"/>
      <c r="S365" s="421"/>
      <c r="T365" s="421"/>
      <c r="U365" s="421"/>
      <c r="V365" s="421"/>
      <c r="W365" s="421"/>
      <c r="X365" s="421"/>
    </row>
    <row r="366" spans="1:24" s="8" customFormat="1" ht="68.25" customHeight="1">
      <c r="A366" s="103" t="s">
        <v>568</v>
      </c>
      <c r="B366" s="43" t="s">
        <v>575</v>
      </c>
      <c r="C366" s="176"/>
      <c r="D366" s="360">
        <f aca="true" t="shared" si="145" ref="D366:I366">SUM(D367:D368)</f>
        <v>0</v>
      </c>
      <c r="E366" s="360">
        <f t="shared" si="145"/>
        <v>0</v>
      </c>
      <c r="F366" s="308">
        <f t="shared" si="145"/>
        <v>0</v>
      </c>
      <c r="G366" s="360">
        <f t="shared" si="145"/>
        <v>0</v>
      </c>
      <c r="H366" s="360">
        <f t="shared" si="145"/>
        <v>0</v>
      </c>
      <c r="I366" s="308">
        <f t="shared" si="145"/>
        <v>0</v>
      </c>
      <c r="J366" s="361"/>
      <c r="K366" s="361"/>
      <c r="L366" s="115"/>
      <c r="M366" s="360">
        <f>SUM(M367:M368)</f>
        <v>0</v>
      </c>
      <c r="N366" s="360">
        <f>SUM(N367:N368)</f>
        <v>0</v>
      </c>
      <c r="O366" s="308">
        <f>SUM(O367:O368)</f>
        <v>0</v>
      </c>
      <c r="P366" s="361"/>
      <c r="Q366" s="361"/>
      <c r="R366" s="115"/>
      <c r="S366" s="360">
        <f>SUM(S367:S368)</f>
        <v>0</v>
      </c>
      <c r="T366" s="360">
        <f>SUM(T367:T368)</f>
        <v>0</v>
      </c>
      <c r="U366" s="308">
        <f>SUM(U367:U368)</f>
        <v>0</v>
      </c>
      <c r="V366" s="361"/>
      <c r="W366" s="361"/>
      <c r="X366" s="115"/>
    </row>
    <row r="367" spans="1:24" s="8" customFormat="1" ht="15" customHeight="1">
      <c r="A367" s="103" t="s">
        <v>569</v>
      </c>
      <c r="B367" s="10" t="s">
        <v>289</v>
      </c>
      <c r="C367" s="176"/>
      <c r="D367" s="358"/>
      <c r="E367" s="358"/>
      <c r="F367" s="304">
        <f>E367-D367</f>
        <v>0</v>
      </c>
      <c r="G367" s="358"/>
      <c r="H367" s="358"/>
      <c r="I367" s="304">
        <f>H367-G367</f>
        <v>0</v>
      </c>
      <c r="J367" s="359"/>
      <c r="K367" s="359"/>
      <c r="L367" s="116"/>
      <c r="M367" s="358"/>
      <c r="N367" s="358"/>
      <c r="O367" s="304">
        <f>N367-M367</f>
        <v>0</v>
      </c>
      <c r="P367" s="359"/>
      <c r="Q367" s="359"/>
      <c r="R367" s="116"/>
      <c r="S367" s="358"/>
      <c r="T367" s="358"/>
      <c r="U367" s="304">
        <f>T367-S367</f>
        <v>0</v>
      </c>
      <c r="V367" s="359"/>
      <c r="W367" s="359"/>
      <c r="X367" s="116"/>
    </row>
    <row r="368" spans="1:24" s="8" customFormat="1" ht="15" customHeight="1">
      <c r="A368" s="103"/>
      <c r="B368" s="10"/>
      <c r="C368" s="176"/>
      <c r="D368" s="358"/>
      <c r="E368" s="358"/>
      <c r="F368" s="304"/>
      <c r="G368" s="358"/>
      <c r="H368" s="358"/>
      <c r="I368" s="304"/>
      <c r="J368" s="359"/>
      <c r="K368" s="359"/>
      <c r="L368" s="116"/>
      <c r="M368" s="358"/>
      <c r="N368" s="358"/>
      <c r="O368" s="304"/>
      <c r="P368" s="359"/>
      <c r="Q368" s="359"/>
      <c r="R368" s="116"/>
      <c r="S368" s="358"/>
      <c r="T368" s="358"/>
      <c r="U368" s="304"/>
      <c r="V368" s="359"/>
      <c r="W368" s="359"/>
      <c r="X368" s="116"/>
    </row>
    <row r="369" spans="1:24" s="8" customFormat="1" ht="15" customHeight="1">
      <c r="A369" s="167"/>
      <c r="B369" s="234"/>
      <c r="C369" s="235"/>
      <c r="D369" s="420" t="s">
        <v>305</v>
      </c>
      <c r="E369" s="421"/>
      <c r="F369" s="421"/>
      <c r="G369" s="421"/>
      <c r="H369" s="421"/>
      <c r="I369" s="421"/>
      <c r="J369" s="421"/>
      <c r="K369" s="421"/>
      <c r="L369" s="422"/>
      <c r="M369" s="420" t="s">
        <v>305</v>
      </c>
      <c r="N369" s="421"/>
      <c r="O369" s="421"/>
      <c r="P369" s="421"/>
      <c r="Q369" s="421"/>
      <c r="R369" s="421"/>
      <c r="S369" s="421"/>
      <c r="T369" s="421"/>
      <c r="U369" s="421"/>
      <c r="V369" s="421"/>
      <c r="W369" s="421"/>
      <c r="X369" s="421"/>
    </row>
    <row r="370" spans="1:24" s="8" customFormat="1" ht="77.25" customHeight="1">
      <c r="A370" s="103" t="s">
        <v>570</v>
      </c>
      <c r="B370" s="43" t="s">
        <v>327</v>
      </c>
      <c r="C370" s="187" t="s">
        <v>77</v>
      </c>
      <c r="D370" s="360">
        <f aca="true" t="shared" si="146" ref="D370:I370">SUM(D371)</f>
        <v>1500</v>
      </c>
      <c r="E370" s="360">
        <f t="shared" si="146"/>
        <v>1100</v>
      </c>
      <c r="F370" s="308">
        <f t="shared" si="146"/>
        <v>-400</v>
      </c>
      <c r="G370" s="360">
        <f t="shared" si="146"/>
        <v>0</v>
      </c>
      <c r="H370" s="360">
        <f t="shared" si="146"/>
        <v>0</v>
      </c>
      <c r="I370" s="308">
        <f t="shared" si="146"/>
        <v>0</v>
      </c>
      <c r="J370" s="361"/>
      <c r="K370" s="361"/>
      <c r="L370" s="115"/>
      <c r="M370" s="360">
        <f>SUM(M371)</f>
        <v>1500</v>
      </c>
      <c r="N370" s="360">
        <f>SUM(N371)</f>
        <v>0</v>
      </c>
      <c r="O370" s="308">
        <f>SUM(O371)</f>
        <v>-1500</v>
      </c>
      <c r="P370" s="412" t="s">
        <v>246</v>
      </c>
      <c r="Q370" s="412" t="s">
        <v>246</v>
      </c>
      <c r="R370" s="294" t="s">
        <v>245</v>
      </c>
      <c r="S370" s="360">
        <f>SUM(S371)</f>
        <v>0</v>
      </c>
      <c r="T370" s="360">
        <f>SUM(T371)</f>
        <v>1100</v>
      </c>
      <c r="U370" s="308">
        <f>SUM(U371)</f>
        <v>1100</v>
      </c>
      <c r="V370" s="412" t="s">
        <v>247</v>
      </c>
      <c r="W370" s="412" t="s">
        <v>268</v>
      </c>
      <c r="X370" s="294" t="s">
        <v>245</v>
      </c>
    </row>
    <row r="371" spans="1:24" s="8" customFormat="1" ht="15" customHeight="1">
      <c r="A371" s="103" t="s">
        <v>603</v>
      </c>
      <c r="B371" s="10" t="s">
        <v>289</v>
      </c>
      <c r="C371" s="176"/>
      <c r="D371" s="358">
        <v>1500</v>
      </c>
      <c r="E371" s="358">
        <v>1100</v>
      </c>
      <c r="F371" s="304">
        <f>E371-D371</f>
        <v>-400</v>
      </c>
      <c r="G371" s="358"/>
      <c r="H371" s="358"/>
      <c r="I371" s="304">
        <f>H371-G371</f>
        <v>0</v>
      </c>
      <c r="J371" s="359"/>
      <c r="K371" s="359"/>
      <c r="L371" s="116"/>
      <c r="M371" s="358">
        <v>1500</v>
      </c>
      <c r="N371" s="358"/>
      <c r="O371" s="304">
        <f>N371-M371</f>
        <v>-1500</v>
      </c>
      <c r="P371" s="359"/>
      <c r="Q371" s="359"/>
      <c r="R371" s="116"/>
      <c r="S371" s="358"/>
      <c r="T371" s="358">
        <v>1100</v>
      </c>
      <c r="U371" s="304">
        <f>T371-S371</f>
        <v>1100</v>
      </c>
      <c r="V371" s="359"/>
      <c r="W371" s="359"/>
      <c r="X371" s="116"/>
    </row>
    <row r="372" spans="1:24" s="8" customFormat="1" ht="15" customHeight="1">
      <c r="A372" s="103"/>
      <c r="B372" s="10"/>
      <c r="C372" s="176"/>
      <c r="D372" s="358"/>
      <c r="E372" s="358"/>
      <c r="F372" s="304"/>
      <c r="G372" s="358"/>
      <c r="H372" s="358"/>
      <c r="I372" s="304"/>
      <c r="J372" s="359"/>
      <c r="K372" s="359"/>
      <c r="L372" s="116"/>
      <c r="M372" s="358"/>
      <c r="N372" s="358"/>
      <c r="O372" s="304"/>
      <c r="P372" s="359"/>
      <c r="Q372" s="359"/>
      <c r="R372" s="116"/>
      <c r="S372" s="358"/>
      <c r="T372" s="358"/>
      <c r="U372" s="304"/>
      <c r="V372" s="359"/>
      <c r="W372" s="359"/>
      <c r="X372" s="116"/>
    </row>
    <row r="373" spans="1:24" s="8" customFormat="1" ht="100.5" customHeight="1">
      <c r="A373" s="103" t="s">
        <v>604</v>
      </c>
      <c r="B373" s="46" t="s">
        <v>337</v>
      </c>
      <c r="C373" s="187" t="s">
        <v>77</v>
      </c>
      <c r="D373" s="360">
        <f aca="true" t="shared" si="147" ref="D373:I373">SUM(D374:D375)</f>
        <v>3750</v>
      </c>
      <c r="E373" s="360">
        <f t="shared" si="147"/>
        <v>4505</v>
      </c>
      <c r="F373" s="308">
        <f t="shared" si="147"/>
        <v>755</v>
      </c>
      <c r="G373" s="360">
        <f t="shared" si="147"/>
        <v>0</v>
      </c>
      <c r="H373" s="360">
        <f t="shared" si="147"/>
        <v>1505</v>
      </c>
      <c r="I373" s="308">
        <f t="shared" si="147"/>
        <v>1505</v>
      </c>
      <c r="J373" s="412" t="s">
        <v>244</v>
      </c>
      <c r="K373" s="412" t="s">
        <v>244</v>
      </c>
      <c r="L373" s="295" t="s">
        <v>245</v>
      </c>
      <c r="M373" s="360">
        <f>SUM(M374:M375)</f>
        <v>750</v>
      </c>
      <c r="N373" s="360">
        <f>SUM(N374:N375)</f>
        <v>0</v>
      </c>
      <c r="O373" s="308">
        <f>SUM(O374:O375)</f>
        <v>-750</v>
      </c>
      <c r="P373" s="412" t="s">
        <v>246</v>
      </c>
      <c r="Q373" s="412" t="s">
        <v>246</v>
      </c>
      <c r="R373" s="294" t="s">
        <v>245</v>
      </c>
      <c r="S373" s="360">
        <f>SUM(S374:S375)</f>
        <v>0</v>
      </c>
      <c r="T373" s="360">
        <f>SUM(T374:T375)</f>
        <v>0</v>
      </c>
      <c r="U373" s="308">
        <f>SUM(U374:U375)</f>
        <v>0</v>
      </c>
      <c r="V373" s="412"/>
      <c r="W373" s="412"/>
      <c r="X373" s="294"/>
    </row>
    <row r="374" spans="1:24" s="8" customFormat="1" ht="15.75">
      <c r="A374" s="103" t="s">
        <v>605</v>
      </c>
      <c r="B374" s="10" t="s">
        <v>289</v>
      </c>
      <c r="C374" s="176"/>
      <c r="D374" s="358">
        <v>3000</v>
      </c>
      <c r="E374" s="358">
        <v>3755</v>
      </c>
      <c r="F374" s="304">
        <f>E374-D374</f>
        <v>755</v>
      </c>
      <c r="G374" s="358"/>
      <c r="H374" s="358">
        <v>1505</v>
      </c>
      <c r="I374" s="304">
        <f>H374-G374</f>
        <v>1505</v>
      </c>
      <c r="J374" s="359"/>
      <c r="K374" s="359"/>
      <c r="L374" s="116"/>
      <c r="M374" s="358">
        <v>750</v>
      </c>
      <c r="N374" s="358"/>
      <c r="O374" s="304">
        <f>N374-M374</f>
        <v>-750</v>
      </c>
      <c r="P374" s="359"/>
      <c r="Q374" s="359"/>
      <c r="R374" s="116"/>
      <c r="S374" s="358"/>
      <c r="T374" s="358"/>
      <c r="U374" s="304">
        <f>T374-S374</f>
        <v>0</v>
      </c>
      <c r="V374" s="359"/>
      <c r="W374" s="359"/>
      <c r="X374" s="116"/>
    </row>
    <row r="375" spans="1:24" s="8" customFormat="1" ht="15" customHeight="1">
      <c r="A375" s="103" t="s">
        <v>606</v>
      </c>
      <c r="B375" s="10" t="s">
        <v>291</v>
      </c>
      <c r="C375" s="176"/>
      <c r="D375" s="358">
        <f>750</f>
        <v>750</v>
      </c>
      <c r="E375" s="358">
        <f>750</f>
        <v>750</v>
      </c>
      <c r="F375" s="304">
        <f>E375-D375</f>
        <v>0</v>
      </c>
      <c r="G375" s="358"/>
      <c r="H375" s="358"/>
      <c r="I375" s="304">
        <f>H375-G375</f>
        <v>0</v>
      </c>
      <c r="J375" s="359"/>
      <c r="K375" s="359"/>
      <c r="L375" s="116"/>
      <c r="M375" s="358"/>
      <c r="N375" s="358"/>
      <c r="O375" s="304">
        <f>N375-M375</f>
        <v>0</v>
      </c>
      <c r="P375" s="359"/>
      <c r="Q375" s="359"/>
      <c r="R375" s="116"/>
      <c r="S375" s="358"/>
      <c r="T375" s="358"/>
      <c r="U375" s="304">
        <f>T375-S375</f>
        <v>0</v>
      </c>
      <c r="V375" s="359"/>
      <c r="W375" s="359"/>
      <c r="X375" s="116"/>
    </row>
    <row r="376" spans="1:24" s="8" customFormat="1" ht="15" customHeight="1">
      <c r="A376" s="103"/>
      <c r="B376" s="12"/>
      <c r="C376" s="176"/>
      <c r="D376" s="358"/>
      <c r="E376" s="358"/>
      <c r="F376" s="304"/>
      <c r="G376" s="358"/>
      <c r="H376" s="358"/>
      <c r="I376" s="304"/>
      <c r="J376" s="359"/>
      <c r="K376" s="359"/>
      <c r="L376" s="116"/>
      <c r="M376" s="358"/>
      <c r="N376" s="358"/>
      <c r="O376" s="304"/>
      <c r="P376" s="359"/>
      <c r="Q376" s="359"/>
      <c r="R376" s="116"/>
      <c r="S376" s="358"/>
      <c r="T376" s="358"/>
      <c r="U376" s="304"/>
      <c r="V376" s="359"/>
      <c r="W376" s="359"/>
      <c r="X376" s="116"/>
    </row>
    <row r="377" spans="1:24" s="8" customFormat="1" ht="15" customHeight="1">
      <c r="A377" s="166"/>
      <c r="B377" s="232"/>
      <c r="C377" s="233"/>
      <c r="D377" s="432" t="s">
        <v>297</v>
      </c>
      <c r="E377" s="433"/>
      <c r="F377" s="433"/>
      <c r="G377" s="433"/>
      <c r="H377" s="433"/>
      <c r="I377" s="433"/>
      <c r="J377" s="433"/>
      <c r="K377" s="433"/>
      <c r="L377" s="434"/>
      <c r="M377" s="432" t="s">
        <v>297</v>
      </c>
      <c r="N377" s="433"/>
      <c r="O377" s="433"/>
      <c r="P377" s="433"/>
      <c r="Q377" s="433"/>
      <c r="R377" s="433"/>
      <c r="S377" s="433"/>
      <c r="T377" s="433"/>
      <c r="U377" s="433"/>
      <c r="V377" s="433"/>
      <c r="W377" s="433"/>
      <c r="X377" s="433"/>
    </row>
    <row r="378" spans="1:24" s="8" customFormat="1" ht="31.5">
      <c r="A378" s="103" t="s">
        <v>607</v>
      </c>
      <c r="B378" s="43" t="s">
        <v>298</v>
      </c>
      <c r="C378" s="176"/>
      <c r="D378" s="360">
        <f aca="true" t="shared" si="148" ref="D378:I378">SUM(D379:D379)</f>
        <v>221019.73200000002</v>
      </c>
      <c r="E378" s="360">
        <f t="shared" si="148"/>
        <v>223044.932</v>
      </c>
      <c r="F378" s="308">
        <f t="shared" si="148"/>
        <v>2025.200000000008</v>
      </c>
      <c r="G378" s="360">
        <f t="shared" si="148"/>
        <v>32769</v>
      </c>
      <c r="H378" s="360">
        <f t="shared" si="148"/>
        <v>31720.3</v>
      </c>
      <c r="I378" s="308">
        <f t="shared" si="148"/>
        <v>-1048.6999999999985</v>
      </c>
      <c r="J378" s="361"/>
      <c r="K378" s="361"/>
      <c r="L378" s="115"/>
      <c r="M378" s="360">
        <f>SUM(M379:M379)</f>
        <v>32090</v>
      </c>
      <c r="N378" s="360">
        <f>SUM(N379:N379)</f>
        <v>33759.700000000004</v>
      </c>
      <c r="O378" s="308">
        <f>SUM(O379:O379)</f>
        <v>1669.7000000000012</v>
      </c>
      <c r="P378" s="361"/>
      <c r="Q378" s="361"/>
      <c r="R378" s="115"/>
      <c r="S378" s="360">
        <f>SUM(S379:S379)</f>
        <v>32090</v>
      </c>
      <c r="T378" s="360">
        <f>SUM(T379:T379)</f>
        <v>33494.2</v>
      </c>
      <c r="U378" s="308">
        <f>SUM(U379:U379)</f>
        <v>1404.199999999999</v>
      </c>
      <c r="V378" s="361"/>
      <c r="W378" s="361"/>
      <c r="X378" s="115"/>
    </row>
    <row r="379" spans="1:24" s="8" customFormat="1" ht="15" customHeight="1">
      <c r="A379" s="103" t="s">
        <v>608</v>
      </c>
      <c r="B379" s="10" t="s">
        <v>289</v>
      </c>
      <c r="C379" s="172"/>
      <c r="D379" s="358">
        <f aca="true" t="shared" si="149" ref="D379:I379">SUM(D382+D385+D400+D403+D406)</f>
        <v>221019.73200000002</v>
      </c>
      <c r="E379" s="358">
        <f t="shared" si="149"/>
        <v>223044.932</v>
      </c>
      <c r="F379" s="304">
        <f t="shared" si="149"/>
        <v>2025.200000000008</v>
      </c>
      <c r="G379" s="358">
        <f t="shared" si="149"/>
        <v>32769</v>
      </c>
      <c r="H379" s="358">
        <f t="shared" si="149"/>
        <v>31720.3</v>
      </c>
      <c r="I379" s="304">
        <f t="shared" si="149"/>
        <v>-1048.6999999999985</v>
      </c>
      <c r="J379" s="359"/>
      <c r="K379" s="359"/>
      <c r="L379" s="116"/>
      <c r="M379" s="358">
        <f>SUM(M382+M385+M400+M403+M406)</f>
        <v>32090</v>
      </c>
      <c r="N379" s="358">
        <f>SUM(N382+N385+N400+N403+N406)</f>
        <v>33759.700000000004</v>
      </c>
      <c r="O379" s="304">
        <f>SUM(O382+O385+O400+O403+O406)</f>
        <v>1669.7000000000012</v>
      </c>
      <c r="P379" s="359"/>
      <c r="Q379" s="359"/>
      <c r="R379" s="116"/>
      <c r="S379" s="358">
        <f>SUM(S382+S385+S400+S403+S406)</f>
        <v>32090</v>
      </c>
      <c r="T379" s="358">
        <f>SUM(T382+T385+T400+T403+T406)</f>
        <v>33494.2</v>
      </c>
      <c r="U379" s="304">
        <f>SUM(U382+U385+U400+U403+U406)</f>
        <v>1404.199999999999</v>
      </c>
      <c r="V379" s="359"/>
      <c r="W379" s="359"/>
      <c r="X379" s="116"/>
    </row>
    <row r="380" spans="1:24" s="8" customFormat="1" ht="15" customHeight="1">
      <c r="A380" s="103"/>
      <c r="B380" s="12"/>
      <c r="C380" s="176"/>
      <c r="D380" s="358"/>
      <c r="E380" s="358"/>
      <c r="F380" s="304"/>
      <c r="G380" s="358"/>
      <c r="H380" s="358"/>
      <c r="I380" s="304"/>
      <c r="J380" s="359"/>
      <c r="K380" s="359"/>
      <c r="L380" s="116"/>
      <c r="M380" s="358"/>
      <c r="N380" s="358"/>
      <c r="O380" s="304"/>
      <c r="P380" s="359"/>
      <c r="Q380" s="359"/>
      <c r="R380" s="116"/>
      <c r="S380" s="358"/>
      <c r="T380" s="358"/>
      <c r="U380" s="304"/>
      <c r="V380" s="359"/>
      <c r="W380" s="359"/>
      <c r="X380" s="116"/>
    </row>
    <row r="381" spans="1:24" s="8" customFormat="1" ht="121.5" customHeight="1">
      <c r="A381" s="103" t="s">
        <v>609</v>
      </c>
      <c r="B381" s="43" t="s">
        <v>325</v>
      </c>
      <c r="C381" s="187" t="s">
        <v>78</v>
      </c>
      <c r="D381" s="360">
        <f aca="true" t="shared" si="150" ref="D381:I381">SUM(D382)</f>
        <v>26512</v>
      </c>
      <c r="E381" s="360">
        <f t="shared" si="150"/>
        <v>25124.6</v>
      </c>
      <c r="F381" s="308">
        <f t="shared" si="150"/>
        <v>-1387.4000000000015</v>
      </c>
      <c r="G381" s="360">
        <f t="shared" si="150"/>
        <v>3618</v>
      </c>
      <c r="H381" s="360">
        <f t="shared" si="150"/>
        <v>3390.3</v>
      </c>
      <c r="I381" s="308">
        <f t="shared" si="150"/>
        <v>-227.69999999999982</v>
      </c>
      <c r="J381" s="412" t="s">
        <v>248</v>
      </c>
      <c r="K381" s="412" t="s">
        <v>248</v>
      </c>
      <c r="L381" s="295" t="s">
        <v>249</v>
      </c>
      <c r="M381" s="360">
        <f>SUM(M382)</f>
        <v>4000</v>
      </c>
      <c r="N381" s="360">
        <f>SUM(N382)</f>
        <v>3390.3</v>
      </c>
      <c r="O381" s="308">
        <f>SUM(O382)</f>
        <v>-609.6999999999998</v>
      </c>
      <c r="P381" s="412" t="s">
        <v>250</v>
      </c>
      <c r="Q381" s="412" t="s">
        <v>250</v>
      </c>
      <c r="R381" s="295" t="s">
        <v>249</v>
      </c>
      <c r="S381" s="360">
        <f>SUM(S382)</f>
        <v>4000</v>
      </c>
      <c r="T381" s="360">
        <f>SUM(T382)</f>
        <v>3450</v>
      </c>
      <c r="U381" s="308">
        <f>SUM(U382)</f>
        <v>-550</v>
      </c>
      <c r="V381" s="412" t="s">
        <v>251</v>
      </c>
      <c r="W381" s="412" t="s">
        <v>251</v>
      </c>
      <c r="X381" s="295" t="s">
        <v>249</v>
      </c>
    </row>
    <row r="382" spans="1:24" s="8" customFormat="1" ht="15" customHeight="1">
      <c r="A382" s="103" t="s">
        <v>610</v>
      </c>
      <c r="B382" s="10" t="s">
        <v>289</v>
      </c>
      <c r="C382" s="176"/>
      <c r="D382" s="358">
        <v>26512</v>
      </c>
      <c r="E382" s="358">
        <v>25124.6</v>
      </c>
      <c r="F382" s="304">
        <f>E382-D382</f>
        <v>-1387.4000000000015</v>
      </c>
      <c r="G382" s="358">
        <v>3618</v>
      </c>
      <c r="H382" s="358">
        <v>3390.3</v>
      </c>
      <c r="I382" s="304">
        <f>H382-G382</f>
        <v>-227.69999999999982</v>
      </c>
      <c r="J382" s="359"/>
      <c r="K382" s="359"/>
      <c r="L382" s="116"/>
      <c r="M382" s="358">
        <v>4000</v>
      </c>
      <c r="N382" s="358">
        <v>3390.3</v>
      </c>
      <c r="O382" s="304">
        <f>N382-M382</f>
        <v>-609.6999999999998</v>
      </c>
      <c r="P382" s="359"/>
      <c r="Q382" s="359"/>
      <c r="R382" s="116"/>
      <c r="S382" s="358">
        <v>4000</v>
      </c>
      <c r="T382" s="358">
        <v>3450</v>
      </c>
      <c r="U382" s="304">
        <f>T382-S382</f>
        <v>-550</v>
      </c>
      <c r="V382" s="359"/>
      <c r="W382" s="359"/>
      <c r="X382" s="116"/>
    </row>
    <row r="383" spans="1:24" s="8" customFormat="1" ht="15" customHeight="1">
      <c r="A383" s="103"/>
      <c r="B383" s="10"/>
      <c r="C383" s="176"/>
      <c r="D383" s="358"/>
      <c r="E383" s="358"/>
      <c r="F383" s="304"/>
      <c r="G383" s="358"/>
      <c r="H383" s="358"/>
      <c r="I383" s="304"/>
      <c r="J383" s="359"/>
      <c r="K383" s="359"/>
      <c r="L383" s="116"/>
      <c r="M383" s="358"/>
      <c r="N383" s="358"/>
      <c r="O383" s="304"/>
      <c r="P383" s="359"/>
      <c r="Q383" s="359"/>
      <c r="R383" s="116"/>
      <c r="S383" s="358"/>
      <c r="T383" s="358"/>
      <c r="U383" s="304"/>
      <c r="V383" s="359"/>
      <c r="W383" s="359"/>
      <c r="X383" s="116"/>
    </row>
    <row r="384" spans="1:24" s="8" customFormat="1" ht="130.5" customHeight="1">
      <c r="A384" s="103" t="s">
        <v>611</v>
      </c>
      <c r="B384" s="43" t="s">
        <v>593</v>
      </c>
      <c r="C384" s="187" t="s">
        <v>79</v>
      </c>
      <c r="D384" s="360">
        <f aca="true" t="shared" si="151" ref="D384:I384">SUM(D385)</f>
        <v>189193.869</v>
      </c>
      <c r="E384" s="360">
        <f t="shared" si="151"/>
        <v>195066.46899999998</v>
      </c>
      <c r="F384" s="308">
        <f t="shared" si="151"/>
        <v>5872.6000000000095</v>
      </c>
      <c r="G384" s="392">
        <f t="shared" si="151"/>
        <v>26361</v>
      </c>
      <c r="H384" s="392">
        <f t="shared" si="151"/>
        <v>28000</v>
      </c>
      <c r="I384" s="308">
        <f t="shared" si="151"/>
        <v>1639.0000000000014</v>
      </c>
      <c r="J384" s="412" t="s">
        <v>244</v>
      </c>
      <c r="K384" s="412" t="s">
        <v>244</v>
      </c>
      <c r="L384" s="295" t="s">
        <v>245</v>
      </c>
      <c r="M384" s="392">
        <f>SUM(M385)</f>
        <v>27650</v>
      </c>
      <c r="N384" s="392">
        <f>SUM(N385)</f>
        <v>29929.4</v>
      </c>
      <c r="O384" s="308">
        <f>SUM(O385)</f>
        <v>2279.400000000001</v>
      </c>
      <c r="P384" s="412" t="s">
        <v>246</v>
      </c>
      <c r="Q384" s="412" t="s">
        <v>246</v>
      </c>
      <c r="R384" s="294" t="s">
        <v>245</v>
      </c>
      <c r="S384" s="392">
        <f>SUM(S385)</f>
        <v>27650</v>
      </c>
      <c r="T384" s="392">
        <f>SUM(T385)</f>
        <v>29604.2</v>
      </c>
      <c r="U384" s="308">
        <f>SUM(U385)</f>
        <v>1954.199999999999</v>
      </c>
      <c r="V384" s="412" t="s">
        <v>247</v>
      </c>
      <c r="W384" s="412" t="s">
        <v>247</v>
      </c>
      <c r="X384" s="294" t="s">
        <v>245</v>
      </c>
    </row>
    <row r="385" spans="1:24" s="8" customFormat="1" ht="15" customHeight="1">
      <c r="A385" s="103" t="s">
        <v>612</v>
      </c>
      <c r="B385" s="10" t="s">
        <v>289</v>
      </c>
      <c r="C385" s="176"/>
      <c r="D385" s="360">
        <f aca="true" t="shared" si="152" ref="D385:I385">SUM(D388+D391+D394+D397)</f>
        <v>189193.869</v>
      </c>
      <c r="E385" s="360">
        <f t="shared" si="152"/>
        <v>195066.46899999998</v>
      </c>
      <c r="F385" s="308">
        <f t="shared" si="152"/>
        <v>5872.6000000000095</v>
      </c>
      <c r="G385" s="360">
        <f t="shared" si="152"/>
        <v>26361</v>
      </c>
      <c r="H385" s="360">
        <f t="shared" si="152"/>
        <v>28000</v>
      </c>
      <c r="I385" s="308">
        <f t="shared" si="152"/>
        <v>1639.0000000000014</v>
      </c>
      <c r="J385" s="361"/>
      <c r="K385" s="361"/>
      <c r="L385" s="115"/>
      <c r="M385" s="360">
        <f>SUM(M388+M391+M394+M397)</f>
        <v>27650</v>
      </c>
      <c r="N385" s="360">
        <f>SUM(N388+N391+N394+N397)</f>
        <v>29929.4</v>
      </c>
      <c r="O385" s="308">
        <f>SUM(O388+O391+O394+O397)</f>
        <v>2279.400000000001</v>
      </c>
      <c r="P385" s="361"/>
      <c r="Q385" s="361"/>
      <c r="R385" s="115"/>
      <c r="S385" s="360">
        <f>SUM(S388+S391+S394+S397)</f>
        <v>27650</v>
      </c>
      <c r="T385" s="360">
        <f>SUM(T388+T391+T394+T397)</f>
        <v>29604.2</v>
      </c>
      <c r="U385" s="308">
        <f>SUM(U388+U391+U394+U397)</f>
        <v>1954.199999999999</v>
      </c>
      <c r="V385" s="361"/>
      <c r="W385" s="361"/>
      <c r="X385" s="115"/>
    </row>
    <row r="386" spans="1:24" s="8" customFormat="1" ht="15" customHeight="1">
      <c r="A386" s="103"/>
      <c r="B386" s="10"/>
      <c r="C386" s="176"/>
      <c r="D386" s="358"/>
      <c r="E386" s="358"/>
      <c r="F386" s="304"/>
      <c r="G386" s="358"/>
      <c r="H386" s="358"/>
      <c r="I386" s="304"/>
      <c r="J386" s="359"/>
      <c r="K386" s="359"/>
      <c r="L386" s="116"/>
      <c r="M386" s="358"/>
      <c r="N386" s="358"/>
      <c r="O386" s="304"/>
      <c r="P386" s="359"/>
      <c r="Q386" s="359"/>
      <c r="R386" s="116"/>
      <c r="S386" s="358"/>
      <c r="T386" s="358"/>
      <c r="U386" s="304"/>
      <c r="V386" s="359"/>
      <c r="W386" s="359"/>
      <c r="X386" s="116"/>
    </row>
    <row r="387" spans="1:24" s="8" customFormat="1" ht="51" customHeight="1">
      <c r="A387" s="103" t="s">
        <v>613</v>
      </c>
      <c r="B387" s="10" t="s">
        <v>594</v>
      </c>
      <c r="C387" s="176"/>
      <c r="D387" s="358">
        <f aca="true" t="shared" si="153" ref="D387:I387">SUM(D388)</f>
        <v>15942.73</v>
      </c>
      <c r="E387" s="358">
        <f t="shared" si="153"/>
        <v>17837.93</v>
      </c>
      <c r="F387" s="304">
        <f t="shared" si="153"/>
        <v>1895.2000000000007</v>
      </c>
      <c r="G387" s="358">
        <f t="shared" si="153"/>
        <v>2311</v>
      </c>
      <c r="H387" s="358">
        <f t="shared" si="153"/>
        <v>2548.6</v>
      </c>
      <c r="I387" s="304">
        <f t="shared" si="153"/>
        <v>237.5999999999999</v>
      </c>
      <c r="J387" s="359"/>
      <c r="K387" s="359"/>
      <c r="L387" s="116"/>
      <c r="M387" s="358">
        <f>SUM(M388)</f>
        <v>2240</v>
      </c>
      <c r="N387" s="358">
        <f>SUM(N388)</f>
        <v>3016.1</v>
      </c>
      <c r="O387" s="304">
        <f>SUM(O388)</f>
        <v>776.0999999999999</v>
      </c>
      <c r="P387" s="359"/>
      <c r="Q387" s="359"/>
      <c r="R387" s="116"/>
      <c r="S387" s="358">
        <f>SUM(S388)</f>
        <v>2240</v>
      </c>
      <c r="T387" s="358">
        <f>SUM(T388)</f>
        <v>3121.5</v>
      </c>
      <c r="U387" s="304">
        <f>SUM(U388)</f>
        <v>881.5</v>
      </c>
      <c r="V387" s="359"/>
      <c r="W387" s="359"/>
      <c r="X387" s="116"/>
    </row>
    <row r="388" spans="1:24" s="8" customFormat="1" ht="15" customHeight="1">
      <c r="A388" s="103" t="s">
        <v>614</v>
      </c>
      <c r="B388" s="10" t="s">
        <v>289</v>
      </c>
      <c r="C388" s="176"/>
      <c r="D388" s="358">
        <v>15942.73</v>
      </c>
      <c r="E388" s="358">
        <v>17837.93</v>
      </c>
      <c r="F388" s="304">
        <f>E388-D388</f>
        <v>1895.2000000000007</v>
      </c>
      <c r="G388" s="358">
        <v>2311</v>
      </c>
      <c r="H388" s="358">
        <v>2548.6</v>
      </c>
      <c r="I388" s="304">
        <f>H388-G388</f>
        <v>237.5999999999999</v>
      </c>
      <c r="J388" s="359"/>
      <c r="K388" s="359"/>
      <c r="L388" s="116"/>
      <c r="M388" s="358">
        <v>2240</v>
      </c>
      <c r="N388" s="358">
        <v>3016.1</v>
      </c>
      <c r="O388" s="304">
        <f>N388-M388</f>
        <v>776.0999999999999</v>
      </c>
      <c r="P388" s="359"/>
      <c r="Q388" s="359"/>
      <c r="R388" s="116"/>
      <c r="S388" s="358">
        <v>2240</v>
      </c>
      <c r="T388" s="358">
        <v>3121.5</v>
      </c>
      <c r="U388" s="304">
        <f>T388-S388</f>
        <v>881.5</v>
      </c>
      <c r="V388" s="359"/>
      <c r="W388" s="359"/>
      <c r="X388" s="116"/>
    </row>
    <row r="389" spans="1:24" s="8" customFormat="1" ht="15" customHeight="1">
      <c r="A389" s="103"/>
      <c r="B389" s="10"/>
      <c r="C389" s="176"/>
      <c r="D389" s="358"/>
      <c r="E389" s="358"/>
      <c r="F389" s="304"/>
      <c r="G389" s="358"/>
      <c r="H389" s="358"/>
      <c r="I389" s="304"/>
      <c r="J389" s="359"/>
      <c r="K389" s="359"/>
      <c r="L389" s="116"/>
      <c r="M389" s="358"/>
      <c r="N389" s="358"/>
      <c r="O389" s="304"/>
      <c r="P389" s="359"/>
      <c r="Q389" s="359"/>
      <c r="R389" s="116"/>
      <c r="S389" s="358"/>
      <c r="T389" s="358"/>
      <c r="U389" s="304"/>
      <c r="V389" s="359"/>
      <c r="W389" s="359"/>
      <c r="X389" s="116"/>
    </row>
    <row r="390" spans="1:24" s="8" customFormat="1" ht="50.25" customHeight="1">
      <c r="A390" s="103" t="s">
        <v>615</v>
      </c>
      <c r="B390" s="10" t="s">
        <v>595</v>
      </c>
      <c r="C390" s="176"/>
      <c r="D390" s="358">
        <f aca="true" t="shared" si="154" ref="D390:I390">SUM(D391)</f>
        <v>220</v>
      </c>
      <c r="E390" s="358">
        <f t="shared" si="154"/>
        <v>220</v>
      </c>
      <c r="F390" s="304">
        <f t="shared" si="154"/>
        <v>0</v>
      </c>
      <c r="G390" s="358">
        <f t="shared" si="154"/>
        <v>0</v>
      </c>
      <c r="H390" s="358">
        <f t="shared" si="154"/>
        <v>0</v>
      </c>
      <c r="I390" s="304">
        <f t="shared" si="154"/>
        <v>0</v>
      </c>
      <c r="J390" s="359"/>
      <c r="K390" s="359"/>
      <c r="L390" s="116"/>
      <c r="M390" s="358">
        <f>SUM(M391)</f>
        <v>0</v>
      </c>
      <c r="N390" s="358">
        <f>SUM(N391)</f>
        <v>0</v>
      </c>
      <c r="O390" s="304">
        <f>SUM(O391)</f>
        <v>0</v>
      </c>
      <c r="P390" s="359"/>
      <c r="Q390" s="359"/>
      <c r="R390" s="116"/>
      <c r="S390" s="358">
        <f>SUM(S391)</f>
        <v>0</v>
      </c>
      <c r="T390" s="358">
        <f>SUM(T391)</f>
        <v>0</v>
      </c>
      <c r="U390" s="304">
        <f>SUM(U391)</f>
        <v>0</v>
      </c>
      <c r="V390" s="359"/>
      <c r="W390" s="359"/>
      <c r="X390" s="116"/>
    </row>
    <row r="391" spans="1:24" s="8" customFormat="1" ht="15" customHeight="1">
      <c r="A391" s="103" t="s">
        <v>616</v>
      </c>
      <c r="B391" s="10" t="s">
        <v>289</v>
      </c>
      <c r="C391" s="176"/>
      <c r="D391" s="358">
        <v>220</v>
      </c>
      <c r="E391" s="358">
        <v>220</v>
      </c>
      <c r="F391" s="304">
        <f>E391-D391</f>
        <v>0</v>
      </c>
      <c r="G391" s="358"/>
      <c r="H391" s="358"/>
      <c r="I391" s="304">
        <f>H391-G391</f>
        <v>0</v>
      </c>
      <c r="J391" s="359"/>
      <c r="K391" s="359"/>
      <c r="L391" s="116"/>
      <c r="M391" s="358"/>
      <c r="N391" s="358"/>
      <c r="O391" s="304">
        <f>N391-M391</f>
        <v>0</v>
      </c>
      <c r="P391" s="359"/>
      <c r="Q391" s="359"/>
      <c r="R391" s="116"/>
      <c r="S391" s="358"/>
      <c r="T391" s="358"/>
      <c r="U391" s="304">
        <f>T391-S391</f>
        <v>0</v>
      </c>
      <c r="V391" s="359"/>
      <c r="W391" s="359"/>
      <c r="X391" s="116"/>
    </row>
    <row r="392" spans="1:24" s="8" customFormat="1" ht="15" customHeight="1">
      <c r="A392" s="103"/>
      <c r="B392" s="10"/>
      <c r="C392" s="176"/>
      <c r="D392" s="358"/>
      <c r="E392" s="358"/>
      <c r="F392" s="304"/>
      <c r="G392" s="358"/>
      <c r="H392" s="358"/>
      <c r="I392" s="304"/>
      <c r="J392" s="359"/>
      <c r="K392" s="359"/>
      <c r="L392" s="116"/>
      <c r="M392" s="358"/>
      <c r="N392" s="358"/>
      <c r="O392" s="304"/>
      <c r="P392" s="359"/>
      <c r="Q392" s="359"/>
      <c r="R392" s="116"/>
      <c r="S392" s="358"/>
      <c r="T392" s="358"/>
      <c r="U392" s="304"/>
      <c r="V392" s="359"/>
      <c r="W392" s="359"/>
      <c r="X392" s="116"/>
    </row>
    <row r="393" spans="1:24" s="8" customFormat="1" ht="53.25" customHeight="1">
      <c r="A393" s="103" t="s">
        <v>617</v>
      </c>
      <c r="B393" s="10" t="s">
        <v>596</v>
      </c>
      <c r="C393" s="176"/>
      <c r="D393" s="358">
        <f aca="true" t="shared" si="155" ref="D393:I393">SUM(D394)</f>
        <v>97287.526</v>
      </c>
      <c r="E393" s="358">
        <f t="shared" si="155"/>
        <v>95233.826</v>
      </c>
      <c r="F393" s="304">
        <f t="shared" si="155"/>
        <v>-2053.699999999997</v>
      </c>
      <c r="G393" s="358">
        <f t="shared" si="155"/>
        <v>13897</v>
      </c>
      <c r="H393" s="358">
        <f t="shared" si="155"/>
        <v>13431.2</v>
      </c>
      <c r="I393" s="304">
        <f t="shared" si="155"/>
        <v>-465.7999999999993</v>
      </c>
      <c r="J393" s="359"/>
      <c r="K393" s="359"/>
      <c r="L393" s="116"/>
      <c r="M393" s="358">
        <f>SUM(M394)</f>
        <v>14910</v>
      </c>
      <c r="N393" s="358">
        <f>SUM(N394)</f>
        <v>13918.7</v>
      </c>
      <c r="O393" s="304">
        <f>SUM(O394)</f>
        <v>-991.2999999999993</v>
      </c>
      <c r="P393" s="359"/>
      <c r="Q393" s="359"/>
      <c r="R393" s="116"/>
      <c r="S393" s="358">
        <f>SUM(S394)</f>
        <v>14910</v>
      </c>
      <c r="T393" s="358">
        <f>SUM(T394)</f>
        <v>14313.4</v>
      </c>
      <c r="U393" s="304">
        <f>SUM(U394)</f>
        <v>-596.6000000000004</v>
      </c>
      <c r="V393" s="359"/>
      <c r="W393" s="359"/>
      <c r="X393" s="116"/>
    </row>
    <row r="394" spans="1:24" s="8" customFormat="1" ht="15" customHeight="1">
      <c r="A394" s="103" t="s">
        <v>618</v>
      </c>
      <c r="B394" s="10" t="s">
        <v>289</v>
      </c>
      <c r="C394" s="176"/>
      <c r="D394" s="358">
        <f>97117.526+170</f>
        <v>97287.526</v>
      </c>
      <c r="E394" s="358">
        <v>95233.826</v>
      </c>
      <c r="F394" s="304">
        <f>E394-D394</f>
        <v>-2053.699999999997</v>
      </c>
      <c r="G394" s="358">
        <v>13897</v>
      </c>
      <c r="H394" s="358">
        <v>13431.2</v>
      </c>
      <c r="I394" s="304">
        <f>H394-G394</f>
        <v>-465.7999999999993</v>
      </c>
      <c r="J394" s="359"/>
      <c r="K394" s="359"/>
      <c r="L394" s="116"/>
      <c r="M394" s="358">
        <v>14910</v>
      </c>
      <c r="N394" s="358">
        <v>13918.7</v>
      </c>
      <c r="O394" s="304">
        <f>N394-M394</f>
        <v>-991.2999999999993</v>
      </c>
      <c r="P394" s="359"/>
      <c r="Q394" s="359"/>
      <c r="R394" s="116"/>
      <c r="S394" s="358">
        <v>14910</v>
      </c>
      <c r="T394" s="358">
        <v>14313.4</v>
      </c>
      <c r="U394" s="304">
        <f>T394-S394</f>
        <v>-596.6000000000004</v>
      </c>
      <c r="V394" s="359"/>
      <c r="W394" s="359"/>
      <c r="X394" s="116"/>
    </row>
    <row r="395" spans="1:24" s="8" customFormat="1" ht="15" customHeight="1">
      <c r="A395" s="103"/>
      <c r="B395" s="10"/>
      <c r="C395" s="176"/>
      <c r="D395" s="358"/>
      <c r="E395" s="358"/>
      <c r="F395" s="304"/>
      <c r="G395" s="358"/>
      <c r="H395" s="358"/>
      <c r="I395" s="304"/>
      <c r="J395" s="359"/>
      <c r="K395" s="359"/>
      <c r="L395" s="116"/>
      <c r="M395" s="358"/>
      <c r="N395" s="358"/>
      <c r="O395" s="304"/>
      <c r="P395" s="359"/>
      <c r="Q395" s="359"/>
      <c r="R395" s="116"/>
      <c r="S395" s="358"/>
      <c r="T395" s="358"/>
      <c r="U395" s="304"/>
      <c r="V395" s="359"/>
      <c r="W395" s="359"/>
      <c r="X395" s="116"/>
    </row>
    <row r="396" spans="1:24" s="8" customFormat="1" ht="53.25" customHeight="1">
      <c r="A396" s="103" t="s">
        <v>619</v>
      </c>
      <c r="B396" s="10" t="s">
        <v>597</v>
      </c>
      <c r="C396" s="176"/>
      <c r="D396" s="358">
        <f aca="true" t="shared" si="156" ref="D396:I396">SUM(D397)</f>
        <v>75743.613</v>
      </c>
      <c r="E396" s="358">
        <f t="shared" si="156"/>
        <v>81774.713</v>
      </c>
      <c r="F396" s="304">
        <f t="shared" si="156"/>
        <v>6031.100000000006</v>
      </c>
      <c r="G396" s="358">
        <f t="shared" si="156"/>
        <v>10153</v>
      </c>
      <c r="H396" s="358">
        <f t="shared" si="156"/>
        <v>12020.2</v>
      </c>
      <c r="I396" s="304">
        <f t="shared" si="156"/>
        <v>1867.2000000000007</v>
      </c>
      <c r="J396" s="359"/>
      <c r="K396" s="359"/>
      <c r="L396" s="116"/>
      <c r="M396" s="358">
        <f>SUM(M397)</f>
        <v>10500</v>
      </c>
      <c r="N396" s="358">
        <f>SUM(N397)</f>
        <v>12994.6</v>
      </c>
      <c r="O396" s="304">
        <f>SUM(O397)</f>
        <v>2494.6000000000004</v>
      </c>
      <c r="P396" s="359"/>
      <c r="Q396" s="359"/>
      <c r="R396" s="116"/>
      <c r="S396" s="358">
        <f>SUM(S397)</f>
        <v>10500</v>
      </c>
      <c r="T396" s="358">
        <f>SUM(T397)</f>
        <v>12169.3</v>
      </c>
      <c r="U396" s="304">
        <f>SUM(U397)</f>
        <v>1669.2999999999993</v>
      </c>
      <c r="V396" s="359"/>
      <c r="W396" s="359"/>
      <c r="X396" s="116"/>
    </row>
    <row r="397" spans="1:24" s="8" customFormat="1" ht="15" customHeight="1">
      <c r="A397" s="103" t="s">
        <v>620</v>
      </c>
      <c r="B397" s="10" t="s">
        <v>289</v>
      </c>
      <c r="C397" s="176"/>
      <c r="D397" s="358">
        <v>75743.613</v>
      </c>
      <c r="E397" s="358">
        <v>81774.713</v>
      </c>
      <c r="F397" s="304">
        <f>E397-D397</f>
        <v>6031.100000000006</v>
      </c>
      <c r="G397" s="358">
        <v>10153</v>
      </c>
      <c r="H397" s="352">
        <v>12020.2</v>
      </c>
      <c r="I397" s="304">
        <f>H397-G397</f>
        <v>1867.2000000000007</v>
      </c>
      <c r="J397" s="359"/>
      <c r="K397" s="359"/>
      <c r="L397" s="116"/>
      <c r="M397" s="358">
        <v>10500</v>
      </c>
      <c r="N397" s="352">
        <v>12994.6</v>
      </c>
      <c r="O397" s="304">
        <f>N397-M397</f>
        <v>2494.6000000000004</v>
      </c>
      <c r="P397" s="359"/>
      <c r="Q397" s="359"/>
      <c r="R397" s="116"/>
      <c r="S397" s="358">
        <v>10500</v>
      </c>
      <c r="T397" s="352">
        <v>12169.3</v>
      </c>
      <c r="U397" s="304">
        <f>T397-S397</f>
        <v>1669.2999999999993</v>
      </c>
      <c r="V397" s="359"/>
      <c r="W397" s="359"/>
      <c r="X397" s="116"/>
    </row>
    <row r="398" spans="1:24" s="8" customFormat="1" ht="15" customHeight="1">
      <c r="A398" s="103"/>
      <c r="B398" s="10"/>
      <c r="C398" s="176"/>
      <c r="D398" s="358"/>
      <c r="E398" s="358"/>
      <c r="F398" s="304"/>
      <c r="G398" s="358"/>
      <c r="H398" s="358"/>
      <c r="I398" s="304"/>
      <c r="J398" s="359"/>
      <c r="K398" s="359"/>
      <c r="L398" s="116"/>
      <c r="M398" s="358"/>
      <c r="N398" s="358"/>
      <c r="O398" s="304"/>
      <c r="P398" s="359"/>
      <c r="Q398" s="359"/>
      <c r="R398" s="116"/>
      <c r="S398" s="358"/>
      <c r="T398" s="358"/>
      <c r="U398" s="304"/>
      <c r="V398" s="359"/>
      <c r="W398" s="359"/>
      <c r="X398" s="116"/>
    </row>
    <row r="399" spans="1:24" s="8" customFormat="1" ht="105" customHeight="1">
      <c r="A399" s="103" t="s">
        <v>621</v>
      </c>
      <c r="B399" s="43" t="s">
        <v>598</v>
      </c>
      <c r="C399" s="187" t="s">
        <v>274</v>
      </c>
      <c r="D399" s="360">
        <f aca="true" t="shared" si="157" ref="D399:I399">SUM(D400)</f>
        <v>2130</v>
      </c>
      <c r="E399" s="360">
        <f t="shared" si="157"/>
        <v>2230</v>
      </c>
      <c r="F399" s="308">
        <f t="shared" si="157"/>
        <v>100</v>
      </c>
      <c r="G399" s="360">
        <f t="shared" si="157"/>
        <v>230</v>
      </c>
      <c r="H399" s="360">
        <f t="shared" si="157"/>
        <v>330</v>
      </c>
      <c r="I399" s="308">
        <f t="shared" si="157"/>
        <v>100</v>
      </c>
      <c r="J399" s="412" t="s">
        <v>253</v>
      </c>
      <c r="K399" s="412" t="s">
        <v>253</v>
      </c>
      <c r="L399" s="294" t="s">
        <v>252</v>
      </c>
      <c r="M399" s="360">
        <f>SUM(M400)</f>
        <v>330</v>
      </c>
      <c r="N399" s="360">
        <f>SUM(N400)</f>
        <v>330</v>
      </c>
      <c r="O399" s="308">
        <f>SUM(O400)</f>
        <v>0</v>
      </c>
      <c r="P399" s="412"/>
      <c r="Q399" s="412"/>
      <c r="R399" s="294"/>
      <c r="S399" s="360">
        <f>SUM(S400)</f>
        <v>330</v>
      </c>
      <c r="T399" s="360">
        <f>SUM(T400)</f>
        <v>330</v>
      </c>
      <c r="U399" s="308">
        <f>SUM(U400)</f>
        <v>0</v>
      </c>
      <c r="V399" s="412"/>
      <c r="W399" s="412"/>
      <c r="X399" s="294"/>
    </row>
    <row r="400" spans="1:24" s="8" customFormat="1" ht="15" customHeight="1">
      <c r="A400" s="103" t="s">
        <v>622</v>
      </c>
      <c r="B400" s="10" t="s">
        <v>289</v>
      </c>
      <c r="C400" s="176"/>
      <c r="D400" s="352">
        <v>2130</v>
      </c>
      <c r="E400" s="352">
        <v>2230</v>
      </c>
      <c r="F400" s="304">
        <f>E400-D400</f>
        <v>100</v>
      </c>
      <c r="G400" s="352">
        <v>230</v>
      </c>
      <c r="H400" s="352">
        <v>330</v>
      </c>
      <c r="I400" s="304">
        <f>H400-G400</f>
        <v>100</v>
      </c>
      <c r="J400" s="353"/>
      <c r="K400" s="353"/>
      <c r="L400" s="116"/>
      <c r="M400" s="352">
        <v>330</v>
      </c>
      <c r="N400" s="352">
        <v>330</v>
      </c>
      <c r="O400" s="304">
        <f>N400-M400</f>
        <v>0</v>
      </c>
      <c r="P400" s="353"/>
      <c r="Q400" s="353"/>
      <c r="R400" s="116"/>
      <c r="S400" s="352">
        <v>330</v>
      </c>
      <c r="T400" s="352">
        <v>330</v>
      </c>
      <c r="U400" s="304">
        <f>T400-S400</f>
        <v>0</v>
      </c>
      <c r="V400" s="353"/>
      <c r="W400" s="353"/>
      <c r="X400" s="116"/>
    </row>
    <row r="401" spans="1:24" s="8" customFormat="1" ht="15" customHeight="1">
      <c r="A401" s="103"/>
      <c r="B401" s="10"/>
      <c r="C401" s="176"/>
      <c r="D401" s="358"/>
      <c r="E401" s="358"/>
      <c r="F401" s="304"/>
      <c r="G401" s="358"/>
      <c r="H401" s="358"/>
      <c r="I401" s="304"/>
      <c r="J401" s="359"/>
      <c r="K401" s="359"/>
      <c r="L401" s="116"/>
      <c r="M401" s="358"/>
      <c r="N401" s="358"/>
      <c r="O401" s="304"/>
      <c r="P401" s="359"/>
      <c r="Q401" s="359"/>
      <c r="R401" s="116"/>
      <c r="S401" s="358"/>
      <c r="T401" s="358"/>
      <c r="U401" s="304"/>
      <c r="V401" s="359"/>
      <c r="W401" s="359"/>
      <c r="X401" s="116"/>
    </row>
    <row r="402" spans="1:24" s="8" customFormat="1" ht="114.75" customHeight="1">
      <c r="A402" s="103" t="s">
        <v>623</v>
      </c>
      <c r="B402" s="43" t="s">
        <v>601</v>
      </c>
      <c r="C402" s="187" t="s">
        <v>80</v>
      </c>
      <c r="D402" s="360">
        <f aca="true" t="shared" si="158" ref="D402:I402">SUM(D403)</f>
        <v>473.863</v>
      </c>
      <c r="E402" s="360">
        <f t="shared" si="158"/>
        <v>313.863</v>
      </c>
      <c r="F402" s="308">
        <f t="shared" si="158"/>
        <v>-160</v>
      </c>
      <c r="G402" s="360">
        <f t="shared" si="158"/>
        <v>160</v>
      </c>
      <c r="H402" s="360">
        <f t="shared" si="158"/>
        <v>0</v>
      </c>
      <c r="I402" s="308">
        <f t="shared" si="158"/>
        <v>-160</v>
      </c>
      <c r="J402" s="412" t="s">
        <v>254</v>
      </c>
      <c r="K402" s="412" t="s">
        <v>254</v>
      </c>
      <c r="L402" s="294" t="s">
        <v>255</v>
      </c>
      <c r="M402" s="360">
        <f>SUM(M403)</f>
        <v>60</v>
      </c>
      <c r="N402" s="360">
        <f>SUM(N403)</f>
        <v>60</v>
      </c>
      <c r="O402" s="308">
        <f>SUM(O403)</f>
        <v>0</v>
      </c>
      <c r="P402" s="412"/>
      <c r="Q402" s="412"/>
      <c r="R402" s="294"/>
      <c r="S402" s="360">
        <f>SUM(S403)</f>
        <v>60</v>
      </c>
      <c r="T402" s="360">
        <f>SUM(T403)</f>
        <v>60</v>
      </c>
      <c r="U402" s="308">
        <f>SUM(U403)</f>
        <v>0</v>
      </c>
      <c r="V402" s="412"/>
      <c r="W402" s="412"/>
      <c r="X402" s="294"/>
    </row>
    <row r="403" spans="1:24" s="8" customFormat="1" ht="15" customHeight="1">
      <c r="A403" s="103" t="s">
        <v>624</v>
      </c>
      <c r="B403" s="10" t="s">
        <v>289</v>
      </c>
      <c r="C403" s="176"/>
      <c r="D403" s="358">
        <v>473.863</v>
      </c>
      <c r="E403" s="358">
        <v>313.863</v>
      </c>
      <c r="F403" s="304">
        <f>E403-D403</f>
        <v>-160</v>
      </c>
      <c r="G403" s="358">
        <v>160</v>
      </c>
      <c r="H403" s="358">
        <v>0</v>
      </c>
      <c r="I403" s="304">
        <f>H403-G403</f>
        <v>-160</v>
      </c>
      <c r="J403" s="359"/>
      <c r="K403" s="359"/>
      <c r="L403" s="116"/>
      <c r="M403" s="358">
        <v>60</v>
      </c>
      <c r="N403" s="358">
        <v>60</v>
      </c>
      <c r="O403" s="304">
        <f>N403-M403</f>
        <v>0</v>
      </c>
      <c r="P403" s="359"/>
      <c r="Q403" s="359"/>
      <c r="R403" s="116"/>
      <c r="S403" s="358">
        <v>60</v>
      </c>
      <c r="T403" s="358">
        <v>60</v>
      </c>
      <c r="U403" s="304">
        <f>T403-S403</f>
        <v>0</v>
      </c>
      <c r="V403" s="359"/>
      <c r="W403" s="359"/>
      <c r="X403" s="116"/>
    </row>
    <row r="404" spans="1:24" s="8" customFormat="1" ht="15" customHeight="1">
      <c r="A404" s="103"/>
      <c r="B404" s="10"/>
      <c r="C404" s="176"/>
      <c r="D404" s="358"/>
      <c r="E404" s="358"/>
      <c r="F404" s="304"/>
      <c r="G404" s="358"/>
      <c r="H404" s="358"/>
      <c r="I404" s="304"/>
      <c r="J404" s="359"/>
      <c r="K404" s="359"/>
      <c r="L404" s="116"/>
      <c r="M404" s="358"/>
      <c r="N404" s="358"/>
      <c r="O404" s="304"/>
      <c r="P404" s="359"/>
      <c r="Q404" s="359"/>
      <c r="R404" s="116"/>
      <c r="S404" s="358"/>
      <c r="T404" s="358"/>
      <c r="U404" s="304"/>
      <c r="V404" s="359"/>
      <c r="W404" s="359"/>
      <c r="X404" s="116"/>
    </row>
    <row r="405" spans="1:24" s="8" customFormat="1" ht="59.25" customHeight="1">
      <c r="A405" s="103" t="s">
        <v>663</v>
      </c>
      <c r="B405" s="43" t="s">
        <v>602</v>
      </c>
      <c r="C405" s="187" t="s">
        <v>81</v>
      </c>
      <c r="D405" s="392">
        <f aca="true" t="shared" si="159" ref="D405:I405">SUM(D406)</f>
        <v>2710</v>
      </c>
      <c r="E405" s="392">
        <f t="shared" si="159"/>
        <v>310</v>
      </c>
      <c r="F405" s="204">
        <f t="shared" si="159"/>
        <v>-2400</v>
      </c>
      <c r="G405" s="392">
        <f t="shared" si="159"/>
        <v>2400</v>
      </c>
      <c r="H405" s="392">
        <f t="shared" si="159"/>
        <v>0</v>
      </c>
      <c r="I405" s="204">
        <f t="shared" si="159"/>
        <v>-2400</v>
      </c>
      <c r="J405" s="412" t="s">
        <v>256</v>
      </c>
      <c r="K405" s="412" t="s">
        <v>256</v>
      </c>
      <c r="L405" s="294" t="s">
        <v>257</v>
      </c>
      <c r="M405" s="392">
        <f>SUM(M406)</f>
        <v>50</v>
      </c>
      <c r="N405" s="392">
        <f>SUM(N406)</f>
        <v>50</v>
      </c>
      <c r="O405" s="204">
        <f>SUM(O406)</f>
        <v>0</v>
      </c>
      <c r="P405" s="394"/>
      <c r="Q405" s="394"/>
      <c r="R405" s="293"/>
      <c r="S405" s="392">
        <f>SUM(S406)</f>
        <v>50</v>
      </c>
      <c r="T405" s="392">
        <f>SUM(T406)</f>
        <v>50</v>
      </c>
      <c r="U405" s="204">
        <f>SUM(U406)</f>
        <v>0</v>
      </c>
      <c r="V405" s="394"/>
      <c r="W405" s="394"/>
      <c r="X405" s="293"/>
    </row>
    <row r="406" spans="1:24" s="8" customFormat="1" ht="15.75" customHeight="1">
      <c r="A406" s="102" t="s">
        <v>665</v>
      </c>
      <c r="B406" s="10" t="s">
        <v>289</v>
      </c>
      <c r="C406" s="176"/>
      <c r="D406" s="352">
        <v>2710</v>
      </c>
      <c r="E406" s="352">
        <v>310</v>
      </c>
      <c r="F406" s="304">
        <f>E406-D406</f>
        <v>-2400</v>
      </c>
      <c r="G406" s="352">
        <v>2400</v>
      </c>
      <c r="H406" s="352">
        <v>0</v>
      </c>
      <c r="I406" s="304">
        <f>H406-G406</f>
        <v>-2400</v>
      </c>
      <c r="J406" s="353"/>
      <c r="K406" s="353"/>
      <c r="L406" s="116"/>
      <c r="M406" s="352">
        <v>50</v>
      </c>
      <c r="N406" s="352">
        <v>50</v>
      </c>
      <c r="O406" s="304">
        <f>N406-M406</f>
        <v>0</v>
      </c>
      <c r="P406" s="353"/>
      <c r="Q406" s="353"/>
      <c r="R406" s="116"/>
      <c r="S406" s="352">
        <v>50</v>
      </c>
      <c r="T406" s="352">
        <v>50</v>
      </c>
      <c r="U406" s="304">
        <f>T406-S406</f>
        <v>0</v>
      </c>
      <c r="V406" s="353"/>
      <c r="W406" s="353"/>
      <c r="X406" s="116"/>
    </row>
    <row r="407" spans="1:24" s="8" customFormat="1" ht="15.75" customHeight="1">
      <c r="A407" s="102"/>
      <c r="B407" s="10"/>
      <c r="C407" s="176"/>
      <c r="D407" s="352"/>
      <c r="E407" s="352"/>
      <c r="F407" s="299"/>
      <c r="G407" s="352"/>
      <c r="H407" s="352"/>
      <c r="I407" s="299"/>
      <c r="J407" s="353"/>
      <c r="K407" s="353"/>
      <c r="L407" s="111"/>
      <c r="M407" s="352"/>
      <c r="N407" s="352"/>
      <c r="O407" s="299"/>
      <c r="P407" s="353"/>
      <c r="Q407" s="353"/>
      <c r="R407" s="111"/>
      <c r="S407" s="352"/>
      <c r="T407" s="352"/>
      <c r="U407" s="299"/>
      <c r="V407" s="353"/>
      <c r="W407" s="353"/>
      <c r="X407" s="111"/>
    </row>
    <row r="408" spans="1:24" s="7" customFormat="1" ht="15" customHeight="1">
      <c r="A408" s="165"/>
      <c r="B408" s="230"/>
      <c r="C408" s="231"/>
      <c r="D408" s="429" t="s">
        <v>355</v>
      </c>
      <c r="E408" s="430"/>
      <c r="F408" s="430"/>
      <c r="G408" s="430"/>
      <c r="H408" s="430"/>
      <c r="I408" s="430"/>
      <c r="J408" s="430"/>
      <c r="K408" s="430"/>
      <c r="L408" s="431"/>
      <c r="M408" s="429" t="s">
        <v>355</v>
      </c>
      <c r="N408" s="430"/>
      <c r="O408" s="430"/>
      <c r="P408" s="430"/>
      <c r="Q408" s="430"/>
      <c r="R408" s="430"/>
      <c r="S408" s="430"/>
      <c r="T408" s="430"/>
      <c r="U408" s="430"/>
      <c r="V408" s="430"/>
      <c r="W408" s="430"/>
      <c r="X408" s="430"/>
    </row>
    <row r="409" spans="1:24" s="8" customFormat="1" ht="15.75">
      <c r="A409" s="103" t="s">
        <v>677</v>
      </c>
      <c r="B409" s="43" t="s">
        <v>356</v>
      </c>
      <c r="C409" s="176"/>
      <c r="D409" s="360">
        <f aca="true" t="shared" si="160" ref="D409:I409">SUM(D410:D413)</f>
        <v>161029</v>
      </c>
      <c r="E409" s="360">
        <f t="shared" si="160"/>
        <v>81813</v>
      </c>
      <c r="F409" s="308">
        <f t="shared" si="160"/>
        <v>-79216</v>
      </c>
      <c r="G409" s="360">
        <f t="shared" si="160"/>
        <v>100</v>
      </c>
      <c r="H409" s="360">
        <f t="shared" si="160"/>
        <v>0</v>
      </c>
      <c r="I409" s="308">
        <f t="shared" si="160"/>
        <v>-100</v>
      </c>
      <c r="J409" s="361"/>
      <c r="K409" s="361"/>
      <c r="L409" s="115"/>
      <c r="M409" s="360">
        <f>SUM(M410:M413)</f>
        <v>340</v>
      </c>
      <c r="N409" s="360">
        <f>SUM(N410:N413)</f>
        <v>140</v>
      </c>
      <c r="O409" s="308">
        <f>SUM(O410:O413)</f>
        <v>-200</v>
      </c>
      <c r="P409" s="361"/>
      <c r="Q409" s="361"/>
      <c r="R409" s="115"/>
      <c r="S409" s="360">
        <f>SUM(S410:S413)</f>
        <v>510</v>
      </c>
      <c r="T409" s="360">
        <f>SUM(T410:T413)</f>
        <v>110</v>
      </c>
      <c r="U409" s="308">
        <f>SUM(U410:U413)</f>
        <v>-400</v>
      </c>
      <c r="V409" s="361"/>
      <c r="W409" s="361"/>
      <c r="X409" s="115"/>
    </row>
    <row r="410" spans="1:24" s="8" customFormat="1" ht="15" customHeight="1">
      <c r="A410" s="103" t="s">
        <v>678</v>
      </c>
      <c r="B410" s="10" t="s">
        <v>289</v>
      </c>
      <c r="C410" s="176"/>
      <c r="D410" s="358">
        <f aca="true" t="shared" si="161" ref="D410:I410">SUM(D416+D422)</f>
        <v>1560</v>
      </c>
      <c r="E410" s="358">
        <f t="shared" si="161"/>
        <v>860</v>
      </c>
      <c r="F410" s="299">
        <f t="shared" si="161"/>
        <v>-700</v>
      </c>
      <c r="G410" s="358">
        <f t="shared" si="161"/>
        <v>100</v>
      </c>
      <c r="H410" s="352">
        <f t="shared" si="161"/>
        <v>0</v>
      </c>
      <c r="I410" s="299">
        <f t="shared" si="161"/>
        <v>-100</v>
      </c>
      <c r="J410" s="359"/>
      <c r="K410" s="359"/>
      <c r="L410" s="111"/>
      <c r="M410" s="358">
        <f>SUM(M416+M422)</f>
        <v>340</v>
      </c>
      <c r="N410" s="352">
        <f>SUM(N416+N422)</f>
        <v>140</v>
      </c>
      <c r="O410" s="299">
        <f>SUM(O416+O422)</f>
        <v>-200</v>
      </c>
      <c r="P410" s="359"/>
      <c r="Q410" s="359"/>
      <c r="R410" s="111"/>
      <c r="S410" s="358">
        <f>SUM(S416+S422)</f>
        <v>510</v>
      </c>
      <c r="T410" s="352">
        <f>SUM(T416+T422)</f>
        <v>110</v>
      </c>
      <c r="U410" s="299">
        <f>SUM(U416+U422)</f>
        <v>-400</v>
      </c>
      <c r="V410" s="359"/>
      <c r="W410" s="359"/>
      <c r="X410" s="111"/>
    </row>
    <row r="411" spans="1:24" s="8" customFormat="1" ht="15" customHeight="1">
      <c r="A411" s="103" t="s">
        <v>679</v>
      </c>
      <c r="B411" s="10" t="s">
        <v>290</v>
      </c>
      <c r="C411" s="176"/>
      <c r="D411" s="358"/>
      <c r="E411" s="358"/>
      <c r="F411" s="304"/>
      <c r="G411" s="358"/>
      <c r="H411" s="358"/>
      <c r="I411" s="304"/>
      <c r="J411" s="359"/>
      <c r="K411" s="359"/>
      <c r="L411" s="116"/>
      <c r="M411" s="358"/>
      <c r="N411" s="358"/>
      <c r="O411" s="304"/>
      <c r="P411" s="359"/>
      <c r="Q411" s="359"/>
      <c r="R411" s="116"/>
      <c r="S411" s="358"/>
      <c r="T411" s="358"/>
      <c r="U411" s="304"/>
      <c r="V411" s="359"/>
      <c r="W411" s="359"/>
      <c r="X411" s="116"/>
    </row>
    <row r="412" spans="1:24" s="8" customFormat="1" ht="15" customHeight="1">
      <c r="A412" s="103" t="s">
        <v>1</v>
      </c>
      <c r="B412" s="10" t="s">
        <v>291</v>
      </c>
      <c r="C412" s="176"/>
      <c r="D412" s="358">
        <f aca="true" t="shared" si="162" ref="D412:I412">SUM(D424)</f>
        <v>159469</v>
      </c>
      <c r="E412" s="358">
        <f t="shared" si="162"/>
        <v>80953</v>
      </c>
      <c r="F412" s="304">
        <f t="shared" si="162"/>
        <v>-78516</v>
      </c>
      <c r="G412" s="358">
        <f t="shared" si="162"/>
        <v>0</v>
      </c>
      <c r="H412" s="358">
        <f t="shared" si="162"/>
        <v>0</v>
      </c>
      <c r="I412" s="304">
        <f t="shared" si="162"/>
        <v>0</v>
      </c>
      <c r="J412" s="359"/>
      <c r="K412" s="359"/>
      <c r="L412" s="116"/>
      <c r="M412" s="358">
        <f>SUM(M424)</f>
        <v>0</v>
      </c>
      <c r="N412" s="358">
        <f>SUM(N424)</f>
        <v>0</v>
      </c>
      <c r="O412" s="304">
        <f>SUM(O424)</f>
        <v>0</v>
      </c>
      <c r="P412" s="359"/>
      <c r="Q412" s="359"/>
      <c r="R412" s="116"/>
      <c r="S412" s="358">
        <f>SUM(S424)</f>
        <v>0</v>
      </c>
      <c r="T412" s="358">
        <f>SUM(T424)</f>
        <v>0</v>
      </c>
      <c r="U412" s="304">
        <f>SUM(U424)</f>
        <v>0</v>
      </c>
      <c r="V412" s="359"/>
      <c r="W412" s="359"/>
      <c r="X412" s="116"/>
    </row>
    <row r="413" spans="1:24" s="8" customFormat="1" ht="15" customHeight="1">
      <c r="A413" s="103" t="s">
        <v>2</v>
      </c>
      <c r="B413" s="10" t="s">
        <v>292</v>
      </c>
      <c r="C413" s="176"/>
      <c r="D413" s="358"/>
      <c r="E413" s="358"/>
      <c r="F413" s="304"/>
      <c r="G413" s="358"/>
      <c r="H413" s="358"/>
      <c r="I413" s="304"/>
      <c r="J413" s="359"/>
      <c r="K413" s="359"/>
      <c r="L413" s="116"/>
      <c r="M413" s="358"/>
      <c r="N413" s="358"/>
      <c r="O413" s="304"/>
      <c r="P413" s="359"/>
      <c r="Q413" s="359"/>
      <c r="R413" s="116"/>
      <c r="S413" s="358"/>
      <c r="T413" s="358"/>
      <c r="U413" s="304"/>
      <c r="V413" s="359"/>
      <c r="W413" s="359"/>
      <c r="X413" s="116"/>
    </row>
    <row r="414" spans="1:24" s="8" customFormat="1" ht="15" customHeight="1">
      <c r="A414" s="166"/>
      <c r="B414" s="232"/>
      <c r="C414" s="233"/>
      <c r="D414" s="432" t="s">
        <v>293</v>
      </c>
      <c r="E414" s="433"/>
      <c r="F414" s="433"/>
      <c r="G414" s="433"/>
      <c r="H414" s="433"/>
      <c r="I414" s="433"/>
      <c r="J414" s="433"/>
      <c r="K414" s="433"/>
      <c r="L414" s="434"/>
      <c r="M414" s="432" t="s">
        <v>293</v>
      </c>
      <c r="N414" s="433"/>
      <c r="O414" s="433"/>
      <c r="P414" s="433"/>
      <c r="Q414" s="433"/>
      <c r="R414" s="433"/>
      <c r="S414" s="433"/>
      <c r="T414" s="433"/>
      <c r="U414" s="433"/>
      <c r="V414" s="433"/>
      <c r="W414" s="433"/>
      <c r="X414" s="433"/>
    </row>
    <row r="415" spans="1:24" s="8" customFormat="1" ht="35.25" customHeight="1">
      <c r="A415" s="103" t="s">
        <v>3</v>
      </c>
      <c r="B415" s="43" t="s">
        <v>316</v>
      </c>
      <c r="C415" s="176"/>
      <c r="D415" s="360"/>
      <c r="E415" s="360"/>
      <c r="F415" s="308"/>
      <c r="G415" s="360"/>
      <c r="H415" s="360"/>
      <c r="I415" s="308"/>
      <c r="J415" s="361"/>
      <c r="K415" s="361"/>
      <c r="L415" s="115"/>
      <c r="M415" s="360"/>
      <c r="N415" s="360"/>
      <c r="O415" s="308"/>
      <c r="P415" s="361"/>
      <c r="Q415" s="361"/>
      <c r="R415" s="115"/>
      <c r="S415" s="360"/>
      <c r="T415" s="360"/>
      <c r="U415" s="308"/>
      <c r="V415" s="361"/>
      <c r="W415" s="361"/>
      <c r="X415" s="115"/>
    </row>
    <row r="416" spans="1:24" s="8" customFormat="1" ht="15" customHeight="1">
      <c r="A416" s="103" t="s">
        <v>4</v>
      </c>
      <c r="B416" s="10" t="s">
        <v>289</v>
      </c>
      <c r="C416" s="176"/>
      <c r="D416" s="358"/>
      <c r="E416" s="358"/>
      <c r="F416" s="304"/>
      <c r="G416" s="358"/>
      <c r="H416" s="358"/>
      <c r="I416" s="304"/>
      <c r="J416" s="359"/>
      <c r="K416" s="359"/>
      <c r="L416" s="116"/>
      <c r="M416" s="358"/>
      <c r="N416" s="358"/>
      <c r="O416" s="304"/>
      <c r="P416" s="359"/>
      <c r="Q416" s="359"/>
      <c r="R416" s="116"/>
      <c r="S416" s="358"/>
      <c r="T416" s="358"/>
      <c r="U416" s="304"/>
      <c r="V416" s="359"/>
      <c r="W416" s="359"/>
      <c r="X416" s="116"/>
    </row>
    <row r="417" spans="1:24" s="8" customFormat="1" ht="15" customHeight="1">
      <c r="A417" s="169"/>
      <c r="B417" s="239"/>
      <c r="C417" s="240"/>
      <c r="D417" s="438" t="s">
        <v>294</v>
      </c>
      <c r="E417" s="439"/>
      <c r="F417" s="439"/>
      <c r="G417" s="439"/>
      <c r="H417" s="439"/>
      <c r="I417" s="439"/>
      <c r="J417" s="439"/>
      <c r="K417" s="439"/>
      <c r="L417" s="440"/>
      <c r="M417" s="438" t="s">
        <v>294</v>
      </c>
      <c r="N417" s="439"/>
      <c r="O417" s="439"/>
      <c r="P417" s="439"/>
      <c r="Q417" s="439"/>
      <c r="R417" s="439"/>
      <c r="S417" s="439"/>
      <c r="T417" s="439"/>
      <c r="U417" s="439"/>
      <c r="V417" s="439"/>
      <c r="W417" s="439"/>
      <c r="X417" s="439"/>
    </row>
    <row r="418" spans="1:24" s="8" customFormat="1" ht="48.75" customHeight="1">
      <c r="A418" s="103" t="s">
        <v>5</v>
      </c>
      <c r="B418" s="43" t="s">
        <v>574</v>
      </c>
      <c r="C418" s="176"/>
      <c r="D418" s="360"/>
      <c r="E418" s="360"/>
      <c r="F418" s="308"/>
      <c r="G418" s="360"/>
      <c r="H418" s="360"/>
      <c r="I418" s="308"/>
      <c r="J418" s="361"/>
      <c r="K418" s="361"/>
      <c r="L418" s="115"/>
      <c r="M418" s="360"/>
      <c r="N418" s="360"/>
      <c r="O418" s="308"/>
      <c r="P418" s="361"/>
      <c r="Q418" s="361"/>
      <c r="R418" s="115"/>
      <c r="S418" s="360"/>
      <c r="T418" s="360"/>
      <c r="U418" s="308"/>
      <c r="V418" s="361"/>
      <c r="W418" s="361"/>
      <c r="X418" s="115"/>
    </row>
    <row r="419" spans="1:24" s="8" customFormat="1" ht="15" customHeight="1">
      <c r="A419" s="103" t="s">
        <v>6</v>
      </c>
      <c r="B419" s="10" t="s">
        <v>289</v>
      </c>
      <c r="C419" s="176"/>
      <c r="D419" s="358"/>
      <c r="E419" s="358"/>
      <c r="F419" s="304"/>
      <c r="G419" s="358"/>
      <c r="H419" s="358"/>
      <c r="I419" s="304"/>
      <c r="J419" s="359"/>
      <c r="K419" s="359"/>
      <c r="L419" s="116"/>
      <c r="M419" s="358"/>
      <c r="N419" s="358"/>
      <c r="O419" s="304"/>
      <c r="P419" s="359"/>
      <c r="Q419" s="359"/>
      <c r="R419" s="116"/>
      <c r="S419" s="358"/>
      <c r="T419" s="358"/>
      <c r="U419" s="304"/>
      <c r="V419" s="359"/>
      <c r="W419" s="359"/>
      <c r="X419" s="116"/>
    </row>
    <row r="420" spans="1:23" s="8" customFormat="1" ht="15" customHeight="1">
      <c r="A420" s="166"/>
      <c r="B420" s="232"/>
      <c r="C420" s="233"/>
      <c r="D420" s="432" t="s">
        <v>297</v>
      </c>
      <c r="E420" s="433"/>
      <c r="F420" s="433"/>
      <c r="G420" s="433"/>
      <c r="H420" s="433"/>
      <c r="I420" s="433"/>
      <c r="J420" s="433"/>
      <c r="K420" s="433"/>
      <c r="L420" s="434"/>
      <c r="M420" s="432" t="s">
        <v>297</v>
      </c>
      <c r="N420" s="433"/>
      <c r="O420" s="433"/>
      <c r="P420" s="433"/>
      <c r="Q420" s="433"/>
      <c r="R420" s="433"/>
      <c r="S420" s="433"/>
      <c r="T420" s="433"/>
      <c r="U420" s="433"/>
      <c r="V420" s="433"/>
      <c r="W420" s="433"/>
    </row>
    <row r="421" spans="1:24" s="8" customFormat="1" ht="31.5">
      <c r="A421" s="103" t="s">
        <v>7</v>
      </c>
      <c r="B421" s="43" t="s">
        <v>298</v>
      </c>
      <c r="C421" s="176"/>
      <c r="D421" s="360">
        <f aca="true" t="shared" si="163" ref="D421:I421">SUM(D422:D424)</f>
        <v>161029</v>
      </c>
      <c r="E421" s="360">
        <f t="shared" si="163"/>
        <v>81813</v>
      </c>
      <c r="F421" s="308">
        <f t="shared" si="163"/>
        <v>-79216</v>
      </c>
      <c r="G421" s="360">
        <f t="shared" si="163"/>
        <v>100</v>
      </c>
      <c r="H421" s="360">
        <f t="shared" si="163"/>
        <v>0</v>
      </c>
      <c r="I421" s="308">
        <f t="shared" si="163"/>
        <v>-100</v>
      </c>
      <c r="J421" s="361"/>
      <c r="K421" s="361"/>
      <c r="L421" s="115"/>
      <c r="M421" s="360">
        <f>SUM(M422:M424)</f>
        <v>340</v>
      </c>
      <c r="N421" s="360">
        <f>SUM(N422:N424)</f>
        <v>140</v>
      </c>
      <c r="O421" s="308">
        <f>SUM(O422:O424)</f>
        <v>-200</v>
      </c>
      <c r="P421" s="361"/>
      <c r="Q421" s="361"/>
      <c r="R421" s="115"/>
      <c r="S421" s="360">
        <f>SUM(S422:S424)</f>
        <v>510</v>
      </c>
      <c r="T421" s="360">
        <f>SUM(T422:T424)</f>
        <v>110</v>
      </c>
      <c r="U421" s="308">
        <f>SUM(U422:U424)</f>
        <v>-400</v>
      </c>
      <c r="V421" s="361"/>
      <c r="W421" s="361"/>
      <c r="X421" s="115"/>
    </row>
    <row r="422" spans="1:24" s="8" customFormat="1" ht="15" customHeight="1">
      <c r="A422" s="103" t="s">
        <v>8</v>
      </c>
      <c r="B422" s="10" t="s">
        <v>289</v>
      </c>
      <c r="C422" s="176"/>
      <c r="D422" s="358">
        <f aca="true" t="shared" si="164" ref="D422:I422">SUM(D430+D433+D436+D439)</f>
        <v>1560</v>
      </c>
      <c r="E422" s="358">
        <f t="shared" si="164"/>
        <v>860</v>
      </c>
      <c r="F422" s="304">
        <f t="shared" si="164"/>
        <v>-700</v>
      </c>
      <c r="G422" s="358">
        <f t="shared" si="164"/>
        <v>100</v>
      </c>
      <c r="H422" s="358">
        <f t="shared" si="164"/>
        <v>0</v>
      </c>
      <c r="I422" s="304">
        <f t="shared" si="164"/>
        <v>-100</v>
      </c>
      <c r="J422" s="359"/>
      <c r="K422" s="359"/>
      <c r="L422" s="116"/>
      <c r="M422" s="358">
        <f>SUM(M430+M433+M436+M439)</f>
        <v>340</v>
      </c>
      <c r="N422" s="358">
        <f>SUM(N430+N433+N436+N439)</f>
        <v>140</v>
      </c>
      <c r="O422" s="304">
        <f>SUM(O430+O433+O436+O439)</f>
        <v>-200</v>
      </c>
      <c r="P422" s="359"/>
      <c r="Q422" s="359"/>
      <c r="R422" s="116"/>
      <c r="S422" s="358">
        <f>SUM(S430+S433+S436+S439)</f>
        <v>510</v>
      </c>
      <c r="T422" s="358">
        <f>SUM(T430+T433+T436+T439)</f>
        <v>110</v>
      </c>
      <c r="U422" s="304">
        <f>SUM(U430+U433+U436+U439)</f>
        <v>-400</v>
      </c>
      <c r="V422" s="359"/>
      <c r="W422" s="359"/>
      <c r="X422" s="116"/>
    </row>
    <row r="423" spans="1:24" s="8" customFormat="1" ht="15" customHeight="1">
      <c r="A423" s="103" t="s">
        <v>65</v>
      </c>
      <c r="B423" s="10" t="s">
        <v>290</v>
      </c>
      <c r="C423" s="176"/>
      <c r="D423" s="358">
        <v>0</v>
      </c>
      <c r="E423" s="358">
        <v>0</v>
      </c>
      <c r="F423" s="304">
        <v>0</v>
      </c>
      <c r="G423" s="358">
        <v>0</v>
      </c>
      <c r="H423" s="358">
        <v>0</v>
      </c>
      <c r="I423" s="304">
        <v>0</v>
      </c>
      <c r="J423" s="359"/>
      <c r="K423" s="359"/>
      <c r="L423" s="116"/>
      <c r="M423" s="358">
        <v>0</v>
      </c>
      <c r="N423" s="358">
        <v>0</v>
      </c>
      <c r="O423" s="304">
        <v>0</v>
      </c>
      <c r="P423" s="359"/>
      <c r="Q423" s="359"/>
      <c r="R423" s="116"/>
      <c r="S423" s="358">
        <v>0</v>
      </c>
      <c r="T423" s="358">
        <v>0</v>
      </c>
      <c r="U423" s="304">
        <v>0</v>
      </c>
      <c r="V423" s="359"/>
      <c r="W423" s="359"/>
      <c r="X423" s="116"/>
    </row>
    <row r="424" spans="1:24" s="8" customFormat="1" ht="15" customHeight="1">
      <c r="A424" s="103" t="s">
        <v>66</v>
      </c>
      <c r="B424" s="10" t="s">
        <v>291</v>
      </c>
      <c r="C424" s="176"/>
      <c r="D424" s="352">
        <f aca="true" t="shared" si="165" ref="D424:I424">SUM(D427)</f>
        <v>159469</v>
      </c>
      <c r="E424" s="352">
        <f t="shared" si="165"/>
        <v>80953</v>
      </c>
      <c r="F424" s="299">
        <f t="shared" si="165"/>
        <v>-78516</v>
      </c>
      <c r="G424" s="352">
        <f t="shared" si="165"/>
        <v>0</v>
      </c>
      <c r="H424" s="352">
        <f t="shared" si="165"/>
        <v>0</v>
      </c>
      <c r="I424" s="299">
        <f t="shared" si="165"/>
        <v>0</v>
      </c>
      <c r="J424" s="353"/>
      <c r="K424" s="353"/>
      <c r="L424" s="111"/>
      <c r="M424" s="352">
        <f>SUM(M427)</f>
        <v>0</v>
      </c>
      <c r="N424" s="352">
        <f>SUM(N427)</f>
        <v>0</v>
      </c>
      <c r="O424" s="299">
        <f>SUM(O427)</f>
        <v>0</v>
      </c>
      <c r="P424" s="353"/>
      <c r="Q424" s="353"/>
      <c r="R424" s="111"/>
      <c r="S424" s="352">
        <f>SUM(S427)</f>
        <v>0</v>
      </c>
      <c r="T424" s="352">
        <f>SUM(T427)</f>
        <v>0</v>
      </c>
      <c r="U424" s="299">
        <f>SUM(U427)</f>
        <v>0</v>
      </c>
      <c r="V424" s="353"/>
      <c r="W424" s="353"/>
      <c r="X424" s="111"/>
    </row>
    <row r="425" spans="1:24" s="8" customFormat="1" ht="15" customHeight="1">
      <c r="A425" s="103"/>
      <c r="B425" s="10"/>
      <c r="C425" s="176"/>
      <c r="D425" s="352"/>
      <c r="E425" s="352"/>
      <c r="F425" s="299"/>
      <c r="G425" s="352"/>
      <c r="H425" s="352"/>
      <c r="I425" s="299"/>
      <c r="J425" s="353"/>
      <c r="K425" s="353"/>
      <c r="L425" s="111"/>
      <c r="M425" s="352"/>
      <c r="N425" s="352"/>
      <c r="O425" s="299"/>
      <c r="P425" s="353"/>
      <c r="Q425" s="353"/>
      <c r="R425" s="111"/>
      <c r="S425" s="352"/>
      <c r="T425" s="352"/>
      <c r="U425" s="299"/>
      <c r="V425" s="353"/>
      <c r="W425" s="353"/>
      <c r="X425" s="111"/>
    </row>
    <row r="426" spans="1:24" s="8" customFormat="1" ht="66.75" customHeight="1">
      <c r="A426" s="103" t="s">
        <v>67</v>
      </c>
      <c r="B426" s="43" t="s">
        <v>357</v>
      </c>
      <c r="C426" s="187" t="s">
        <v>82</v>
      </c>
      <c r="D426" s="392">
        <f aca="true" t="shared" si="166" ref="D426:I426">SUM(D427)</f>
        <v>159469</v>
      </c>
      <c r="E426" s="392">
        <f t="shared" si="166"/>
        <v>80953</v>
      </c>
      <c r="F426" s="204">
        <f t="shared" si="166"/>
        <v>-78516</v>
      </c>
      <c r="G426" s="392">
        <f t="shared" si="166"/>
        <v>0</v>
      </c>
      <c r="H426" s="392">
        <f t="shared" si="166"/>
        <v>0</v>
      </c>
      <c r="I426" s="204">
        <f t="shared" si="166"/>
        <v>0</v>
      </c>
      <c r="J426" s="407" t="s">
        <v>265</v>
      </c>
      <c r="K426" s="394" t="s">
        <v>265</v>
      </c>
      <c r="L426" s="293" t="s">
        <v>266</v>
      </c>
      <c r="M426" s="392">
        <f>SUM(M427)</f>
        <v>0</v>
      </c>
      <c r="N426" s="392">
        <f>SUM(N427)</f>
        <v>0</v>
      </c>
      <c r="O426" s="204">
        <f>SUM(O427)</f>
        <v>0</v>
      </c>
      <c r="P426" s="407" t="s">
        <v>267</v>
      </c>
      <c r="Q426" s="394" t="s">
        <v>267</v>
      </c>
      <c r="R426" s="293" t="s">
        <v>266</v>
      </c>
      <c r="S426" s="392">
        <f>SUM(S427)</f>
        <v>0</v>
      </c>
      <c r="T426" s="392">
        <f>SUM(T427)</f>
        <v>0</v>
      </c>
      <c r="U426" s="204">
        <f>SUM(U427)</f>
        <v>0</v>
      </c>
      <c r="V426" s="407" t="s">
        <v>267</v>
      </c>
      <c r="W426" s="394" t="s">
        <v>267</v>
      </c>
      <c r="X426" s="293" t="s">
        <v>266</v>
      </c>
    </row>
    <row r="427" spans="1:24" s="8" customFormat="1" ht="15.75" customHeight="1">
      <c r="A427" s="103" t="s">
        <v>68</v>
      </c>
      <c r="B427" s="10" t="s">
        <v>291</v>
      </c>
      <c r="C427" s="176"/>
      <c r="D427" s="352">
        <v>159469</v>
      </c>
      <c r="E427" s="352">
        <v>80953</v>
      </c>
      <c r="F427" s="304">
        <f>E427-D427</f>
        <v>-78516</v>
      </c>
      <c r="G427" s="352"/>
      <c r="H427" s="352"/>
      <c r="I427" s="304">
        <f>H427-G427</f>
        <v>0</v>
      </c>
      <c r="J427" s="353"/>
      <c r="K427" s="353"/>
      <c r="L427" s="116"/>
      <c r="M427" s="352"/>
      <c r="N427" s="352"/>
      <c r="O427" s="304">
        <f>N427-M427</f>
        <v>0</v>
      </c>
      <c r="P427" s="353"/>
      <c r="Q427" s="353"/>
      <c r="R427" s="116"/>
      <c r="S427" s="352"/>
      <c r="T427" s="352"/>
      <c r="U427" s="304">
        <f>T427-S427</f>
        <v>0</v>
      </c>
      <c r="V427" s="353"/>
      <c r="W427" s="353"/>
      <c r="X427" s="116"/>
    </row>
    <row r="428" spans="1:24" s="8" customFormat="1" ht="15.75" customHeight="1">
      <c r="A428" s="103"/>
      <c r="B428" s="10"/>
      <c r="C428" s="176"/>
      <c r="D428" s="352"/>
      <c r="E428" s="352"/>
      <c r="F428" s="299"/>
      <c r="G428" s="352"/>
      <c r="H428" s="352"/>
      <c r="I428" s="299"/>
      <c r="J428" s="353"/>
      <c r="K428" s="353"/>
      <c r="L428" s="111"/>
      <c r="M428" s="352"/>
      <c r="N428" s="352"/>
      <c r="O428" s="299"/>
      <c r="P428" s="353"/>
      <c r="Q428" s="353"/>
      <c r="R428" s="111"/>
      <c r="S428" s="352"/>
      <c r="T428" s="352"/>
      <c r="U428" s="299"/>
      <c r="V428" s="353"/>
      <c r="W428" s="353"/>
      <c r="X428" s="111"/>
    </row>
    <row r="429" spans="1:24" s="8" customFormat="1" ht="132" customHeight="1">
      <c r="A429" s="102" t="s">
        <v>110</v>
      </c>
      <c r="B429" s="43" t="s">
        <v>358</v>
      </c>
      <c r="C429" s="187" t="s">
        <v>275</v>
      </c>
      <c r="D429" s="392">
        <f aca="true" t="shared" si="167" ref="D429:I429">SUM(D430)</f>
        <v>1500</v>
      </c>
      <c r="E429" s="392">
        <f t="shared" si="167"/>
        <v>800</v>
      </c>
      <c r="F429" s="204">
        <f t="shared" si="167"/>
        <v>-700</v>
      </c>
      <c r="G429" s="392">
        <f t="shared" si="167"/>
        <v>100</v>
      </c>
      <c r="H429" s="392">
        <f t="shared" si="167"/>
        <v>0</v>
      </c>
      <c r="I429" s="204">
        <f t="shared" si="167"/>
        <v>-100</v>
      </c>
      <c r="J429" s="407" t="s">
        <v>258</v>
      </c>
      <c r="K429" s="394" t="s">
        <v>258</v>
      </c>
      <c r="L429" s="293" t="s">
        <v>242</v>
      </c>
      <c r="M429" s="392">
        <f>SUM(M430)</f>
        <v>300</v>
      </c>
      <c r="N429" s="392">
        <f>SUM(N430)</f>
        <v>100</v>
      </c>
      <c r="O429" s="204">
        <f>SUM(O430)</f>
        <v>-200</v>
      </c>
      <c r="P429" s="407" t="s">
        <v>259</v>
      </c>
      <c r="Q429" s="394" t="s">
        <v>259</v>
      </c>
      <c r="R429" s="293" t="s">
        <v>242</v>
      </c>
      <c r="S429" s="392">
        <f>SUM(S430)</f>
        <v>500</v>
      </c>
      <c r="T429" s="392">
        <f>SUM(T430)</f>
        <v>100</v>
      </c>
      <c r="U429" s="204">
        <f>SUM(U430)</f>
        <v>-400</v>
      </c>
      <c r="V429" s="407" t="s">
        <v>260</v>
      </c>
      <c r="W429" s="394" t="s">
        <v>260</v>
      </c>
      <c r="X429" s="293" t="s">
        <v>242</v>
      </c>
    </row>
    <row r="430" spans="1:24" s="8" customFormat="1" ht="15.75" customHeight="1">
      <c r="A430" s="102" t="s">
        <v>111</v>
      </c>
      <c r="B430" s="10" t="s">
        <v>289</v>
      </c>
      <c r="C430" s="176"/>
      <c r="D430" s="352">
        <v>1500</v>
      </c>
      <c r="E430" s="352">
        <v>800</v>
      </c>
      <c r="F430" s="304">
        <f>E430-D430</f>
        <v>-700</v>
      </c>
      <c r="G430" s="352">
        <v>100</v>
      </c>
      <c r="H430" s="352">
        <v>0</v>
      </c>
      <c r="I430" s="304">
        <f>H430-G430</f>
        <v>-100</v>
      </c>
      <c r="J430" s="353"/>
      <c r="K430" s="353"/>
      <c r="L430" s="116"/>
      <c r="M430" s="352">
        <v>300</v>
      </c>
      <c r="N430" s="352">
        <v>100</v>
      </c>
      <c r="O430" s="304">
        <f>N430-M430</f>
        <v>-200</v>
      </c>
      <c r="P430" s="353"/>
      <c r="Q430" s="353"/>
      <c r="R430" s="116"/>
      <c r="S430" s="352">
        <v>500</v>
      </c>
      <c r="T430" s="352">
        <v>100</v>
      </c>
      <c r="U430" s="304">
        <f>T430-S430</f>
        <v>-400</v>
      </c>
      <c r="V430" s="353"/>
      <c r="W430" s="353"/>
      <c r="X430" s="116"/>
    </row>
    <row r="431" spans="1:24" s="8" customFormat="1" ht="15.75" customHeight="1">
      <c r="A431" s="102"/>
      <c r="B431" s="10"/>
      <c r="C431" s="176"/>
      <c r="D431" s="352"/>
      <c r="E431" s="352"/>
      <c r="F431" s="299"/>
      <c r="G431" s="352"/>
      <c r="H431" s="352"/>
      <c r="I431" s="299"/>
      <c r="J431" s="353"/>
      <c r="K431" s="353"/>
      <c r="L431" s="111"/>
      <c r="M431" s="352"/>
      <c r="N431" s="352"/>
      <c r="O431" s="299"/>
      <c r="P431" s="353"/>
      <c r="Q431" s="353"/>
      <c r="R431" s="111"/>
      <c r="S431" s="352"/>
      <c r="T431" s="352"/>
      <c r="U431" s="299"/>
      <c r="V431" s="353"/>
      <c r="W431" s="353"/>
      <c r="X431" s="111"/>
    </row>
    <row r="432" spans="1:24" s="8" customFormat="1" ht="123" customHeight="1">
      <c r="A432" s="102" t="s">
        <v>112</v>
      </c>
      <c r="B432" s="43" t="s">
        <v>359</v>
      </c>
      <c r="C432" s="187" t="s">
        <v>277</v>
      </c>
      <c r="D432" s="392">
        <f>SUM(D433)</f>
        <v>30</v>
      </c>
      <c r="E432" s="392">
        <f>SUM(E433)</f>
        <v>30</v>
      </c>
      <c r="F432" s="204">
        <v>0</v>
      </c>
      <c r="G432" s="392">
        <f>SUM(G433)</f>
        <v>0</v>
      </c>
      <c r="H432" s="392">
        <f>SUM(H433)</f>
        <v>0</v>
      </c>
      <c r="I432" s="204">
        <v>0</v>
      </c>
      <c r="J432" s="393"/>
      <c r="K432" s="393"/>
      <c r="L432" s="114"/>
      <c r="M432" s="392">
        <f>SUM(M433)</f>
        <v>10</v>
      </c>
      <c r="N432" s="392">
        <f>SUM(N433)</f>
        <v>10</v>
      </c>
      <c r="O432" s="204">
        <v>0</v>
      </c>
      <c r="P432" s="393"/>
      <c r="Q432" s="393"/>
      <c r="R432" s="114"/>
      <c r="S432" s="392">
        <f>SUM(S433)</f>
        <v>10</v>
      </c>
      <c r="T432" s="392">
        <f>SUM(T433)</f>
        <v>10</v>
      </c>
      <c r="U432" s="204">
        <v>0</v>
      </c>
      <c r="V432" s="393"/>
      <c r="W432" s="393"/>
      <c r="X432" s="114"/>
    </row>
    <row r="433" spans="1:24" s="8" customFormat="1" ht="15.75" customHeight="1">
      <c r="A433" s="102" t="s">
        <v>152</v>
      </c>
      <c r="B433" s="10" t="s">
        <v>289</v>
      </c>
      <c r="C433" s="176"/>
      <c r="D433" s="352">
        <v>30</v>
      </c>
      <c r="E433" s="352">
        <v>30</v>
      </c>
      <c r="F433" s="304">
        <f>E433-D433</f>
        <v>0</v>
      </c>
      <c r="G433" s="352"/>
      <c r="H433" s="352"/>
      <c r="I433" s="304">
        <f>H433-G433</f>
        <v>0</v>
      </c>
      <c r="J433" s="353"/>
      <c r="K433" s="353"/>
      <c r="L433" s="116"/>
      <c r="M433" s="352">
        <v>10</v>
      </c>
      <c r="N433" s="352">
        <v>10</v>
      </c>
      <c r="O433" s="304">
        <f>N433-M433</f>
        <v>0</v>
      </c>
      <c r="P433" s="353"/>
      <c r="Q433" s="353"/>
      <c r="R433" s="116"/>
      <c r="S433" s="352">
        <v>10</v>
      </c>
      <c r="T433" s="352">
        <v>10</v>
      </c>
      <c r="U433" s="304">
        <f>T433-S433</f>
        <v>0</v>
      </c>
      <c r="V433" s="353"/>
      <c r="W433" s="353"/>
      <c r="X433" s="116"/>
    </row>
    <row r="434" spans="1:24" s="8" customFormat="1" ht="15.75" customHeight="1">
      <c r="A434" s="102"/>
      <c r="B434" s="10"/>
      <c r="C434" s="176"/>
      <c r="D434" s="352"/>
      <c r="E434" s="352"/>
      <c r="F434" s="299"/>
      <c r="G434" s="352"/>
      <c r="H434" s="352"/>
      <c r="I434" s="299"/>
      <c r="J434" s="353"/>
      <c r="K434" s="353"/>
      <c r="L434" s="111"/>
      <c r="M434" s="352"/>
      <c r="N434" s="352"/>
      <c r="O434" s="299"/>
      <c r="P434" s="353"/>
      <c r="Q434" s="353"/>
      <c r="R434" s="111"/>
      <c r="S434" s="352"/>
      <c r="T434" s="352"/>
      <c r="U434" s="299"/>
      <c r="V434" s="353"/>
      <c r="W434" s="353"/>
      <c r="X434" s="111"/>
    </row>
    <row r="435" spans="1:24" s="8" customFormat="1" ht="67.5" customHeight="1">
      <c r="A435" s="102" t="s">
        <v>169</v>
      </c>
      <c r="B435" s="43" t="s">
        <v>360</v>
      </c>
      <c r="C435" s="187" t="s">
        <v>278</v>
      </c>
      <c r="D435" s="392">
        <f>SUM(D436)</f>
        <v>0</v>
      </c>
      <c r="E435" s="392">
        <f>SUM(E436)</f>
        <v>0</v>
      </c>
      <c r="F435" s="204">
        <v>0</v>
      </c>
      <c r="G435" s="392">
        <f>SUM(G436)</f>
        <v>0</v>
      </c>
      <c r="H435" s="392">
        <f>SUM(H436)</f>
        <v>0</v>
      </c>
      <c r="I435" s="204">
        <v>0</v>
      </c>
      <c r="J435" s="393"/>
      <c r="K435" s="393"/>
      <c r="L435" s="114"/>
      <c r="M435" s="392">
        <f>SUM(M436)</f>
        <v>0</v>
      </c>
      <c r="N435" s="392">
        <f>SUM(N436)</f>
        <v>0</v>
      </c>
      <c r="O435" s="204">
        <v>0</v>
      </c>
      <c r="P435" s="393"/>
      <c r="Q435" s="393"/>
      <c r="R435" s="114"/>
      <c r="S435" s="392">
        <f>SUM(S436)</f>
        <v>0</v>
      </c>
      <c r="T435" s="392">
        <f>SUM(T436)</f>
        <v>0</v>
      </c>
      <c r="U435" s="204">
        <v>0</v>
      </c>
      <c r="V435" s="393"/>
      <c r="W435" s="393"/>
      <c r="X435" s="114"/>
    </row>
    <row r="436" spans="1:24" s="8" customFormat="1" ht="15.75" customHeight="1">
      <c r="A436" s="102" t="s">
        <v>170</v>
      </c>
      <c r="B436" s="10" t="s">
        <v>289</v>
      </c>
      <c r="C436" s="176"/>
      <c r="D436" s="352">
        <v>0</v>
      </c>
      <c r="E436" s="352">
        <v>0</v>
      </c>
      <c r="F436" s="304">
        <f>E436-D436</f>
        <v>0</v>
      </c>
      <c r="G436" s="352"/>
      <c r="H436" s="352"/>
      <c r="I436" s="304">
        <f>H436-G436</f>
        <v>0</v>
      </c>
      <c r="J436" s="353"/>
      <c r="K436" s="353"/>
      <c r="L436" s="116"/>
      <c r="M436" s="352"/>
      <c r="N436" s="352"/>
      <c r="O436" s="304">
        <f>N436-M436</f>
        <v>0</v>
      </c>
      <c r="P436" s="353"/>
      <c r="Q436" s="353"/>
      <c r="R436" s="116"/>
      <c r="S436" s="352"/>
      <c r="T436" s="352"/>
      <c r="U436" s="304">
        <f>T436-S436</f>
        <v>0</v>
      </c>
      <c r="V436" s="353"/>
      <c r="W436" s="353"/>
      <c r="X436" s="116"/>
    </row>
    <row r="437" spans="1:24" s="8" customFormat="1" ht="15.75" customHeight="1">
      <c r="A437" s="102"/>
      <c r="B437" s="10"/>
      <c r="C437" s="176"/>
      <c r="D437" s="352"/>
      <c r="E437" s="352"/>
      <c r="F437" s="299"/>
      <c r="G437" s="352"/>
      <c r="H437" s="352"/>
      <c r="I437" s="299"/>
      <c r="J437" s="353"/>
      <c r="K437" s="353"/>
      <c r="L437" s="111"/>
      <c r="M437" s="352"/>
      <c r="N437" s="352"/>
      <c r="O437" s="299"/>
      <c r="P437" s="353"/>
      <c r="Q437" s="353"/>
      <c r="R437" s="111"/>
      <c r="S437" s="352"/>
      <c r="T437" s="352"/>
      <c r="U437" s="299"/>
      <c r="V437" s="353"/>
      <c r="W437" s="353"/>
      <c r="X437" s="111"/>
    </row>
    <row r="438" spans="1:24" s="8" customFormat="1" ht="48" customHeight="1">
      <c r="A438" s="102" t="s">
        <v>171</v>
      </c>
      <c r="B438" s="43" t="s">
        <v>361</v>
      </c>
      <c r="C438" s="187" t="s">
        <v>83</v>
      </c>
      <c r="D438" s="392">
        <f>SUM(D439)</f>
        <v>30</v>
      </c>
      <c r="E438" s="392">
        <f>SUM(E439)</f>
        <v>30</v>
      </c>
      <c r="F438" s="204">
        <v>0</v>
      </c>
      <c r="G438" s="392">
        <f>SUM(G439)</f>
        <v>0</v>
      </c>
      <c r="H438" s="392">
        <f>SUM(H439)</f>
        <v>0</v>
      </c>
      <c r="I438" s="204">
        <v>0</v>
      </c>
      <c r="J438" s="393"/>
      <c r="K438" s="393"/>
      <c r="L438" s="114"/>
      <c r="M438" s="392">
        <f>SUM(M439)</f>
        <v>30</v>
      </c>
      <c r="N438" s="392">
        <f>SUM(N439)</f>
        <v>30</v>
      </c>
      <c r="O438" s="204">
        <v>0</v>
      </c>
      <c r="P438" s="393"/>
      <c r="Q438" s="393"/>
      <c r="R438" s="114"/>
      <c r="S438" s="392">
        <f>SUM(S439)</f>
        <v>0</v>
      </c>
      <c r="T438" s="392">
        <f>SUM(T439)</f>
        <v>0</v>
      </c>
      <c r="U438" s="204">
        <v>0</v>
      </c>
      <c r="V438" s="393"/>
      <c r="W438" s="393"/>
      <c r="X438" s="114"/>
    </row>
    <row r="439" spans="1:24" s="8" customFormat="1" ht="15.75" customHeight="1">
      <c r="A439" s="102" t="s">
        <v>172</v>
      </c>
      <c r="B439" s="10" t="s">
        <v>289</v>
      </c>
      <c r="C439" s="176"/>
      <c r="D439" s="352">
        <v>30</v>
      </c>
      <c r="E439" s="352">
        <v>30</v>
      </c>
      <c r="F439" s="304">
        <f>E439-D439</f>
        <v>0</v>
      </c>
      <c r="G439" s="352"/>
      <c r="H439" s="352"/>
      <c r="I439" s="304">
        <f>H439-G439</f>
        <v>0</v>
      </c>
      <c r="J439" s="353"/>
      <c r="K439" s="353"/>
      <c r="L439" s="116"/>
      <c r="M439" s="352">
        <v>30</v>
      </c>
      <c r="N439" s="352">
        <v>30</v>
      </c>
      <c r="O439" s="304">
        <f>N439-M439</f>
        <v>0</v>
      </c>
      <c r="P439" s="353"/>
      <c r="Q439" s="353"/>
      <c r="R439" s="116"/>
      <c r="S439" s="352"/>
      <c r="T439" s="352"/>
      <c r="U439" s="304">
        <f>T439-S439</f>
        <v>0</v>
      </c>
      <c r="V439" s="353"/>
      <c r="W439" s="353"/>
      <c r="X439" s="116"/>
    </row>
    <row r="441" ht="12.75" customHeight="1" hidden="1">
      <c r="C441" s="182" t="s">
        <v>328</v>
      </c>
    </row>
    <row r="442" spans="2:24" ht="12.75" customHeight="1" hidden="1">
      <c r="B442" s="53" t="s">
        <v>329</v>
      </c>
      <c r="C442" s="183">
        <f aca="true" t="shared" si="168" ref="C442:C447">SUM(D442:J442)</f>
        <v>7822803.235320001</v>
      </c>
      <c r="D442" s="246">
        <f aca="true" t="shared" si="169" ref="D442:J442">SUM(D14)</f>
        <v>5149254.717660001</v>
      </c>
      <c r="E442" s="254">
        <f t="shared" si="169"/>
        <v>3660895.41766</v>
      </c>
      <c r="F442" s="54">
        <f t="shared" si="169"/>
        <v>-1488359.2999999998</v>
      </c>
      <c r="G442" s="246">
        <f t="shared" si="169"/>
        <v>324346</v>
      </c>
      <c r="H442" s="254">
        <f t="shared" si="169"/>
        <v>250506.2</v>
      </c>
      <c r="I442" s="54">
        <f>SUM(I14)</f>
        <v>-73839.8</v>
      </c>
      <c r="J442" s="246">
        <f t="shared" si="169"/>
        <v>0</v>
      </c>
      <c r="K442" s="254"/>
      <c r="L442" s="54">
        <f>SUM(L14)</f>
        <v>0</v>
      </c>
      <c r="M442" s="246">
        <f>SUM(M14)</f>
        <v>344265</v>
      </c>
      <c r="N442" s="254">
        <f>SUM(N14)</f>
        <v>247799.30000000005</v>
      </c>
      <c r="O442" s="54">
        <f>SUM(O14)</f>
        <v>-96465.70000000001</v>
      </c>
      <c r="P442" s="246">
        <f>SUM(P14)</f>
        <v>0</v>
      </c>
      <c r="Q442" s="254"/>
      <c r="R442" s="54">
        <f>SUM(R14)</f>
        <v>0</v>
      </c>
      <c r="S442" s="246">
        <f>SUM(S14)</f>
        <v>339235</v>
      </c>
      <c r="T442" s="254">
        <f>SUM(T14)</f>
        <v>254631.09999999998</v>
      </c>
      <c r="U442" s="54">
        <f>SUM(U14)</f>
        <v>-84603.90000000001</v>
      </c>
      <c r="V442" s="246">
        <f>SUM(V14)</f>
        <v>0</v>
      </c>
      <c r="W442" s="254"/>
      <c r="X442" s="54">
        <f>SUM(X14)</f>
        <v>0</v>
      </c>
    </row>
    <row r="443" spans="2:24" ht="12.75" customHeight="1" hidden="1">
      <c r="B443" s="55" t="s">
        <v>330</v>
      </c>
      <c r="C443" s="184">
        <f t="shared" si="168"/>
        <v>73596.89600000001</v>
      </c>
      <c r="D443" s="246">
        <f>SUM(D214+D244+D250)</f>
        <v>36798.448000000004</v>
      </c>
      <c r="E443" s="254">
        <f>SUM(E214+E244+E250)</f>
        <v>36798.448000000004</v>
      </c>
      <c r="F443" s="57">
        <f>SUM(F214+F244)</f>
        <v>0</v>
      </c>
      <c r="G443" s="246">
        <f>SUM(G214+G244+G250)</f>
        <v>0</v>
      </c>
      <c r="H443" s="254">
        <f>SUM(H214+H244)</f>
        <v>0</v>
      </c>
      <c r="I443" s="57">
        <f>SUM(I214+I244)</f>
        <v>0</v>
      </c>
      <c r="J443" s="246">
        <f>SUM(J214+J244)</f>
        <v>0</v>
      </c>
      <c r="K443" s="254"/>
      <c r="L443" s="57">
        <f>SUM(L214+L244)</f>
        <v>0</v>
      </c>
      <c r="M443" s="246">
        <f>SUM(M214+M244+M250)</f>
        <v>0</v>
      </c>
      <c r="N443" s="254">
        <f>SUM(N214+N244)</f>
        <v>0</v>
      </c>
      <c r="O443" s="57">
        <f>SUM(O214+O244)</f>
        <v>0</v>
      </c>
      <c r="P443" s="246">
        <f>SUM(P214+P244)</f>
        <v>0</v>
      </c>
      <c r="Q443" s="254"/>
      <c r="R443" s="57">
        <f>SUM(R214+R244)</f>
        <v>0</v>
      </c>
      <c r="S443" s="246">
        <f>SUM(S214+S244+S250)</f>
        <v>0</v>
      </c>
      <c r="T443" s="254">
        <f>SUM(T214+T244)</f>
        <v>0</v>
      </c>
      <c r="U443" s="57">
        <f>SUM(U214+U244)</f>
        <v>0</v>
      </c>
      <c r="V443" s="246">
        <f>SUM(V214+V244)</f>
        <v>0</v>
      </c>
      <c r="W443" s="254"/>
      <c r="X443" s="57">
        <f>SUM(X214+X244)</f>
        <v>0</v>
      </c>
    </row>
    <row r="444" spans="2:24" ht="12.75" customHeight="1" hidden="1">
      <c r="B444" s="55" t="s">
        <v>347</v>
      </c>
      <c r="C444" s="184">
        <f t="shared" si="168"/>
        <v>130198.246</v>
      </c>
      <c r="D444" s="246">
        <f aca="true" t="shared" si="170" ref="D444:J444">SUM(D39)</f>
        <v>49099.123</v>
      </c>
      <c r="E444" s="254">
        <f t="shared" si="170"/>
        <v>57099.123</v>
      </c>
      <c r="F444" s="57">
        <f t="shared" si="170"/>
        <v>8000</v>
      </c>
      <c r="G444" s="246">
        <f t="shared" si="170"/>
        <v>0</v>
      </c>
      <c r="H444" s="254">
        <f t="shared" si="170"/>
        <v>8000</v>
      </c>
      <c r="I444" s="57">
        <f>SUM(I39)</f>
        <v>8000</v>
      </c>
      <c r="J444" s="246">
        <f t="shared" si="170"/>
        <v>0</v>
      </c>
      <c r="K444" s="254"/>
      <c r="L444" s="57">
        <f>SUM(L39)</f>
        <v>0</v>
      </c>
      <c r="M444" s="246">
        <f>SUM(M39)</f>
        <v>0</v>
      </c>
      <c r="N444" s="254">
        <f>SUM(N39)</f>
        <v>0</v>
      </c>
      <c r="O444" s="57">
        <f>SUM(O39)</f>
        <v>0</v>
      </c>
      <c r="P444" s="246">
        <f>SUM(P39)</f>
        <v>0</v>
      </c>
      <c r="Q444" s="254"/>
      <c r="R444" s="57">
        <f>SUM(R39)</f>
        <v>0</v>
      </c>
      <c r="S444" s="246">
        <f>SUM(S39)</f>
        <v>0</v>
      </c>
      <c r="T444" s="254">
        <f>SUM(T39)</f>
        <v>0</v>
      </c>
      <c r="U444" s="57">
        <f>SUM(U39)</f>
        <v>0</v>
      </c>
      <c r="V444" s="246">
        <f>SUM(V39)</f>
        <v>0</v>
      </c>
      <c r="W444" s="254"/>
      <c r="X444" s="57">
        <f>SUM(X39)</f>
        <v>0</v>
      </c>
    </row>
    <row r="445" spans="2:24" ht="12.75" customHeight="1" hidden="1">
      <c r="B445" s="55" t="s">
        <v>348</v>
      </c>
      <c r="C445" s="184">
        <f t="shared" si="168"/>
        <v>6206.444</v>
      </c>
      <c r="D445" s="246">
        <f aca="true" t="shared" si="171" ref="D445:J445">SUM(D120)</f>
        <v>3103.222</v>
      </c>
      <c r="E445" s="254">
        <f t="shared" si="171"/>
        <v>3103.222</v>
      </c>
      <c r="F445" s="57">
        <f t="shared" si="171"/>
        <v>0</v>
      </c>
      <c r="G445" s="246">
        <f t="shared" si="171"/>
        <v>0</v>
      </c>
      <c r="H445" s="254">
        <f t="shared" si="171"/>
        <v>0</v>
      </c>
      <c r="I445" s="57">
        <f>SUM(I120)</f>
        <v>0</v>
      </c>
      <c r="J445" s="246">
        <f t="shared" si="171"/>
        <v>0</v>
      </c>
      <c r="K445" s="254"/>
      <c r="L445" s="57">
        <f>SUM(L120)</f>
        <v>0</v>
      </c>
      <c r="M445" s="246">
        <f>SUM(M120)</f>
        <v>0</v>
      </c>
      <c r="N445" s="254">
        <f>SUM(N120)</f>
        <v>0</v>
      </c>
      <c r="O445" s="57">
        <f>SUM(O120)</f>
        <v>0</v>
      </c>
      <c r="P445" s="246">
        <f>SUM(P120)</f>
        <v>0</v>
      </c>
      <c r="Q445" s="254"/>
      <c r="R445" s="57">
        <f>SUM(R120)</f>
        <v>0</v>
      </c>
      <c r="S445" s="246">
        <f>SUM(S120)</f>
        <v>0</v>
      </c>
      <c r="T445" s="254">
        <f>SUM(T120)</f>
        <v>0</v>
      </c>
      <c r="U445" s="57">
        <f>SUM(U120)</f>
        <v>0</v>
      </c>
      <c r="V445" s="246">
        <f>SUM(V120)</f>
        <v>0</v>
      </c>
      <c r="W445" s="254"/>
      <c r="X445" s="57">
        <f>SUM(X120)</f>
        <v>0</v>
      </c>
    </row>
    <row r="446" spans="2:24" ht="12.75" customHeight="1" hidden="1">
      <c r="B446" s="55" t="s">
        <v>334</v>
      </c>
      <c r="C446" s="184">
        <f t="shared" si="168"/>
        <v>313194.80000000005</v>
      </c>
      <c r="D446" s="246">
        <f aca="true" t="shared" si="172" ref="D446:J446">SUM(D18)</f>
        <v>281697.4</v>
      </c>
      <c r="E446" s="254">
        <f t="shared" si="172"/>
        <v>156597.4</v>
      </c>
      <c r="F446" s="57">
        <f t="shared" si="172"/>
        <v>-125100</v>
      </c>
      <c r="G446" s="246">
        <f t="shared" si="172"/>
        <v>0</v>
      </c>
      <c r="H446" s="254">
        <f t="shared" si="172"/>
        <v>0</v>
      </c>
      <c r="I446" s="57">
        <f>SUM(I18)</f>
        <v>0</v>
      </c>
      <c r="J446" s="246">
        <f t="shared" si="172"/>
        <v>0</v>
      </c>
      <c r="K446" s="254"/>
      <c r="L446" s="57">
        <f>SUM(L18)</f>
        <v>0</v>
      </c>
      <c r="M446" s="246">
        <f>SUM(M18)</f>
        <v>0</v>
      </c>
      <c r="N446" s="254">
        <f>SUM(N18)</f>
        <v>0</v>
      </c>
      <c r="O446" s="57">
        <f>SUM(O18)</f>
        <v>0</v>
      </c>
      <c r="P446" s="246">
        <f>SUM(P18)</f>
        <v>0</v>
      </c>
      <c r="Q446" s="254"/>
      <c r="R446" s="57">
        <f>SUM(R18)</f>
        <v>0</v>
      </c>
      <c r="S446" s="246">
        <f>SUM(S18)</f>
        <v>0</v>
      </c>
      <c r="T446" s="254">
        <f>SUM(T18)</f>
        <v>0</v>
      </c>
      <c r="U446" s="57">
        <f>SUM(U18)</f>
        <v>0</v>
      </c>
      <c r="V446" s="246">
        <f>SUM(V18)</f>
        <v>0</v>
      </c>
      <c r="W446" s="254"/>
      <c r="X446" s="57">
        <f>SUM(X18)</f>
        <v>0</v>
      </c>
    </row>
    <row r="447" spans="2:24" ht="12.75" customHeight="1" hidden="1">
      <c r="B447" s="58"/>
      <c r="C447" s="184">
        <f t="shared" si="168"/>
        <v>0</v>
      </c>
      <c r="D447" s="246"/>
      <c r="E447" s="254"/>
      <c r="F447" s="57"/>
      <c r="G447" s="246"/>
      <c r="H447" s="254"/>
      <c r="I447" s="57"/>
      <c r="J447" s="246"/>
      <c r="K447" s="254"/>
      <c r="L447" s="57"/>
      <c r="M447" s="246"/>
      <c r="N447" s="254"/>
      <c r="O447" s="57"/>
      <c r="P447" s="246"/>
      <c r="Q447" s="254"/>
      <c r="R447" s="57"/>
      <c r="S447" s="246"/>
      <c r="T447" s="254"/>
      <c r="U447" s="57"/>
      <c r="V447" s="246"/>
      <c r="W447" s="254"/>
      <c r="X447" s="57"/>
    </row>
    <row r="448" spans="2:24" ht="12.75" customHeight="1" hidden="1">
      <c r="B448" s="106"/>
      <c r="C448" s="183"/>
      <c r="D448" s="247"/>
      <c r="E448" s="255"/>
      <c r="F448" s="51"/>
      <c r="G448" s="247"/>
      <c r="H448" s="255"/>
      <c r="I448" s="51"/>
      <c r="J448" s="247"/>
      <c r="K448" s="255"/>
      <c r="L448" s="51"/>
      <c r="M448" s="247"/>
      <c r="N448" s="255"/>
      <c r="O448" s="51"/>
      <c r="P448" s="247"/>
      <c r="Q448" s="255"/>
      <c r="R448" s="51"/>
      <c r="S448" s="247"/>
      <c r="T448" s="255"/>
      <c r="U448" s="51"/>
      <c r="V448" s="247"/>
      <c r="W448" s="255"/>
      <c r="X448" s="51"/>
    </row>
    <row r="449" spans="2:24" ht="12.75" customHeight="1" hidden="1">
      <c r="B449" s="59" t="s">
        <v>331</v>
      </c>
      <c r="C449" s="185">
        <f>SUM(D449:J449)</f>
        <v>2700</v>
      </c>
      <c r="D449" s="246">
        <v>400</v>
      </c>
      <c r="E449" s="254">
        <v>400</v>
      </c>
      <c r="F449" s="62">
        <v>500</v>
      </c>
      <c r="G449" s="246">
        <v>400</v>
      </c>
      <c r="H449" s="259">
        <v>500</v>
      </c>
      <c r="I449" s="62">
        <v>500</v>
      </c>
      <c r="J449" s="269"/>
      <c r="K449" s="259"/>
      <c r="L449" s="62">
        <v>500</v>
      </c>
      <c r="M449" s="246">
        <v>400</v>
      </c>
      <c r="N449" s="259">
        <v>500</v>
      </c>
      <c r="O449" s="62">
        <v>500</v>
      </c>
      <c r="P449" s="269"/>
      <c r="Q449" s="259"/>
      <c r="R449" s="62">
        <v>500</v>
      </c>
      <c r="S449" s="246">
        <v>400</v>
      </c>
      <c r="T449" s="259">
        <v>500</v>
      </c>
      <c r="U449" s="62">
        <v>500</v>
      </c>
      <c r="V449" s="269"/>
      <c r="W449" s="259"/>
      <c r="X449" s="62">
        <v>500</v>
      </c>
    </row>
    <row r="450" spans="2:24" ht="25.5" customHeight="1" hidden="1">
      <c r="B450" s="65" t="s">
        <v>341</v>
      </c>
      <c r="C450" s="185">
        <f>SUM(D450:J450)</f>
        <v>526.8</v>
      </c>
      <c r="D450" s="246">
        <v>99.6</v>
      </c>
      <c r="E450" s="254">
        <v>99.6</v>
      </c>
      <c r="F450" s="62">
        <v>76</v>
      </c>
      <c r="G450" s="246">
        <v>99.6</v>
      </c>
      <c r="H450" s="259">
        <v>76</v>
      </c>
      <c r="I450" s="62">
        <v>76</v>
      </c>
      <c r="J450" s="269"/>
      <c r="K450" s="259"/>
      <c r="L450" s="62">
        <v>76</v>
      </c>
      <c r="M450" s="246">
        <v>99.6</v>
      </c>
      <c r="N450" s="259">
        <v>76</v>
      </c>
      <c r="O450" s="62">
        <v>76</v>
      </c>
      <c r="P450" s="269"/>
      <c r="Q450" s="259"/>
      <c r="R450" s="62">
        <v>76</v>
      </c>
      <c r="S450" s="246">
        <v>99.6</v>
      </c>
      <c r="T450" s="259">
        <v>76</v>
      </c>
      <c r="U450" s="62">
        <v>76</v>
      </c>
      <c r="V450" s="269"/>
      <c r="W450" s="259"/>
      <c r="X450" s="62">
        <v>76</v>
      </c>
    </row>
    <row r="451" spans="2:24" ht="12.75" customHeight="1" hidden="1">
      <c r="B451" s="59" t="s">
        <v>332</v>
      </c>
      <c r="C451" s="185">
        <f>SUM(D451:J451)</f>
        <v>2205</v>
      </c>
      <c r="D451" s="246">
        <f>243.2+248.6</f>
        <v>491.79999999999995</v>
      </c>
      <c r="E451" s="254">
        <f>243.2+248.6</f>
        <v>491.79999999999995</v>
      </c>
      <c r="F451" s="62">
        <v>243.2</v>
      </c>
      <c r="G451" s="246">
        <f>243.2+248.6</f>
        <v>491.79999999999995</v>
      </c>
      <c r="H451" s="259">
        <v>243.2</v>
      </c>
      <c r="I451" s="62">
        <v>243.2</v>
      </c>
      <c r="J451" s="269"/>
      <c r="K451" s="259"/>
      <c r="L451" s="62">
        <v>243.2</v>
      </c>
      <c r="M451" s="246">
        <f>243.2+248.6</f>
        <v>491.79999999999995</v>
      </c>
      <c r="N451" s="259">
        <v>243.2</v>
      </c>
      <c r="O451" s="62">
        <v>243.2</v>
      </c>
      <c r="P451" s="269"/>
      <c r="Q451" s="259"/>
      <c r="R451" s="62">
        <v>243.2</v>
      </c>
      <c r="S451" s="246">
        <f>243.2+248.6</f>
        <v>491.79999999999995</v>
      </c>
      <c r="T451" s="259">
        <v>243.2</v>
      </c>
      <c r="U451" s="62">
        <v>243.2</v>
      </c>
      <c r="V451" s="269"/>
      <c r="W451" s="259"/>
      <c r="X451" s="62">
        <v>243.2</v>
      </c>
    </row>
    <row r="452" spans="2:24" ht="25.5" customHeight="1" hidden="1">
      <c r="B452" s="65" t="s">
        <v>340</v>
      </c>
      <c r="C452" s="185">
        <f>SUM(D452:J452)</f>
        <v>1170</v>
      </c>
      <c r="D452" s="246">
        <v>390</v>
      </c>
      <c r="E452" s="254">
        <v>390</v>
      </c>
      <c r="F452" s="62"/>
      <c r="G452" s="246">
        <v>390</v>
      </c>
      <c r="H452" s="259"/>
      <c r="I452" s="62"/>
      <c r="J452" s="269"/>
      <c r="K452" s="259"/>
      <c r="L452" s="62"/>
      <c r="M452" s="246">
        <v>390</v>
      </c>
      <c r="N452" s="259"/>
      <c r="O452" s="62"/>
      <c r="P452" s="269"/>
      <c r="Q452" s="259"/>
      <c r="R452" s="62"/>
      <c r="S452" s="246">
        <v>390</v>
      </c>
      <c r="T452" s="259"/>
      <c r="U452" s="62"/>
      <c r="V452" s="269"/>
      <c r="W452" s="259"/>
      <c r="X452" s="62"/>
    </row>
    <row r="453" spans="2:24" ht="25.5" customHeight="1" hidden="1">
      <c r="B453" s="65" t="s">
        <v>339</v>
      </c>
      <c r="C453" s="185">
        <f>SUM(D453:J453)</f>
        <v>44859</v>
      </c>
      <c r="D453" s="246">
        <f>8343+6610</f>
        <v>14953</v>
      </c>
      <c r="E453" s="254">
        <f>8343+6610</f>
        <v>14953</v>
      </c>
      <c r="F453" s="62"/>
      <c r="G453" s="246">
        <f>8343+6610</f>
        <v>14953</v>
      </c>
      <c r="H453" s="259"/>
      <c r="I453" s="62"/>
      <c r="J453" s="269"/>
      <c r="K453" s="259"/>
      <c r="L453" s="62"/>
      <c r="M453" s="246">
        <f>8343+6610</f>
        <v>14953</v>
      </c>
      <c r="N453" s="259"/>
      <c r="O453" s="62"/>
      <c r="P453" s="269"/>
      <c r="Q453" s="259"/>
      <c r="R453" s="62"/>
      <c r="S453" s="246">
        <f>8343+6610</f>
        <v>14953</v>
      </c>
      <c r="T453" s="259"/>
      <c r="U453" s="62"/>
      <c r="V453" s="269"/>
      <c r="W453" s="259"/>
      <c r="X453" s="62"/>
    </row>
    <row r="454" spans="2:24" ht="12.75" customHeight="1" hidden="1">
      <c r="B454" s="106"/>
      <c r="C454" s="183"/>
      <c r="D454" s="247"/>
      <c r="E454" s="255"/>
      <c r="F454" s="52"/>
      <c r="G454" s="247"/>
      <c r="H454" s="260"/>
      <c r="I454" s="52"/>
      <c r="J454" s="262"/>
      <c r="K454" s="260"/>
      <c r="L454" s="52"/>
      <c r="M454" s="247"/>
      <c r="N454" s="260"/>
      <c r="O454" s="52"/>
      <c r="P454" s="262"/>
      <c r="Q454" s="260"/>
      <c r="R454" s="52"/>
      <c r="S454" s="247"/>
      <c r="T454" s="260"/>
      <c r="U454" s="52"/>
      <c r="V454" s="262"/>
      <c r="W454" s="260"/>
      <c r="X454" s="52"/>
    </row>
    <row r="455" spans="2:24" ht="12.75" customHeight="1" hidden="1">
      <c r="B455" s="106" t="s">
        <v>338</v>
      </c>
      <c r="C455" s="183">
        <f>SUM(D455:J455)</f>
        <v>7351067.649320001</v>
      </c>
      <c r="D455" s="247">
        <f>SUM(D442-D443-D444-D445-D446-D447+D449+D450+D451+D452+D453)</f>
        <v>4794890.92466</v>
      </c>
      <c r="E455" s="255">
        <f aca="true" t="shared" si="173" ref="E455:J455">SUM(E442-E443-E444-E445-E446-E447+E449+E450+E451+E452+E453)</f>
        <v>3423631.6246599997</v>
      </c>
      <c r="F455" s="51">
        <f t="shared" si="173"/>
        <v>-1370440.0999999999</v>
      </c>
      <c r="G455" s="247">
        <f t="shared" si="173"/>
        <v>340680.39999999997</v>
      </c>
      <c r="H455" s="255">
        <f t="shared" si="173"/>
        <v>243325.40000000002</v>
      </c>
      <c r="I455" s="51">
        <f>SUM(I442-I443-I444-I445-I446-I447+I449+I450+I451+I452+I453)</f>
        <v>-81020.6</v>
      </c>
      <c r="J455" s="247">
        <f t="shared" si="173"/>
        <v>0</v>
      </c>
      <c r="K455" s="255"/>
      <c r="L455" s="51">
        <f>SUM(L442-L443-L444-L445-L446-L447+L449+L450+L451+L452+L453)</f>
        <v>819.2</v>
      </c>
      <c r="M455" s="247">
        <f>SUM(M442-M443-M444-M445-M446-M447+M449+M450+M451+M452+M453)</f>
        <v>360599.39999999997</v>
      </c>
      <c r="N455" s="255">
        <f>SUM(N442-N443-N444-N445-N446-N447+N449+N450+N451+N452+N453)</f>
        <v>248618.50000000006</v>
      </c>
      <c r="O455" s="51">
        <f>SUM(O442-O443-O444-O445-O446-O447+O449+O450+O451+O452+O453)</f>
        <v>-95646.50000000001</v>
      </c>
      <c r="P455" s="247">
        <f>SUM(P442-P443-P444-P445-P446-P447+P449+P450+P451+P452+P453)</f>
        <v>0</v>
      </c>
      <c r="Q455" s="255"/>
      <c r="R455" s="51">
        <f>SUM(R442-R443-R444-R445-R446-R447+R449+R450+R451+R452+R453)</f>
        <v>819.2</v>
      </c>
      <c r="S455" s="247">
        <f>SUM(S442-S443-S444-S445-S446-S447+S449+S450+S451+S452+S453)</f>
        <v>355569.39999999997</v>
      </c>
      <c r="T455" s="255">
        <f>SUM(T442-T443-T444-T445-T446-T447+T449+T450+T451+T452+T453)</f>
        <v>255450.3</v>
      </c>
      <c r="U455" s="51">
        <f>SUM(U442-U443-U444-U445-U446-U447+U449+U450+U451+U452+U453)</f>
        <v>-83784.70000000001</v>
      </c>
      <c r="V455" s="247">
        <f>SUM(V442-V443-V444-V445-V446-V447+V449+V450+V451+V452+V453)</f>
        <v>0</v>
      </c>
      <c r="W455" s="255"/>
      <c r="X455" s="51">
        <f>SUM(X442-X443-X444-X445-X446-X447+X449+X450+X451+X452+X453)</f>
        <v>819.2</v>
      </c>
    </row>
    <row r="456" spans="1:24" s="3" customFormat="1" ht="38.25" customHeight="1" hidden="1">
      <c r="A456" s="162"/>
      <c r="B456" s="84" t="s">
        <v>346</v>
      </c>
      <c r="C456" s="183">
        <f>SUM(D456:J456)</f>
        <v>3793044.1799999997</v>
      </c>
      <c r="D456" s="246">
        <f>577370.1-1100+1148+877+1245.1+750+390+248.6+8343+6610+3606.7+210.16-1207+657.7+6741-9304-896</f>
        <v>595690.3599999999</v>
      </c>
      <c r="E456" s="254">
        <f>577370.1-1100+1148+877+1245.1+750+390+248.6+8343+6610+3606.7+210.16-1207+657.7+6741-9304-896</f>
        <v>595690.3599999999</v>
      </c>
      <c r="F456" s="54">
        <f>662674.7+5000+983</f>
        <v>668657.7</v>
      </c>
      <c r="G456" s="246">
        <f>577370.1-1100+1148+877+1245.1+750+390+248.6+8343+6610+3606.7+210.16-1207+657.7+6741-9304-896</f>
        <v>595690.3599999999</v>
      </c>
      <c r="H456" s="254">
        <f>662674.7+5000+983</f>
        <v>668657.7</v>
      </c>
      <c r="I456" s="54">
        <f>662674.7+5000+983</f>
        <v>668657.7</v>
      </c>
      <c r="J456" s="246"/>
      <c r="K456" s="254"/>
      <c r="L456" s="54">
        <f>662674.7+5000+983</f>
        <v>668657.7</v>
      </c>
      <c r="M456" s="246">
        <f>577370.1-1100+1148+877+1245.1+750+390+248.6+8343+6610+3606.7+210.16-1207+657.7+6741-9304-896</f>
        <v>595690.3599999999</v>
      </c>
      <c r="N456" s="254">
        <f>662674.7+5000+983</f>
        <v>668657.7</v>
      </c>
      <c r="O456" s="54">
        <f>662674.7+5000+983</f>
        <v>668657.7</v>
      </c>
      <c r="P456" s="246"/>
      <c r="Q456" s="254"/>
      <c r="R456" s="54">
        <f>662674.7+5000+983</f>
        <v>668657.7</v>
      </c>
      <c r="S456" s="246">
        <f>577370.1-1100+1148+877+1245.1+750+390+248.6+8343+6610+3606.7+210.16-1207+657.7+6741-9304-896</f>
        <v>595690.3599999999</v>
      </c>
      <c r="T456" s="254">
        <f>662674.7+5000+983</f>
        <v>668657.7</v>
      </c>
      <c r="U456" s="54">
        <f>662674.7+5000+983</f>
        <v>668657.7</v>
      </c>
      <c r="V456" s="246"/>
      <c r="W456" s="254"/>
      <c r="X456" s="54">
        <f>662674.7+5000+983</f>
        <v>668657.7</v>
      </c>
    </row>
    <row r="457" spans="1:24" s="63" customFormat="1" ht="12.75" customHeight="1" hidden="1">
      <c r="A457" s="162"/>
      <c r="B457" s="106" t="s">
        <v>333</v>
      </c>
      <c r="C457" s="186">
        <f>SUM(D457:J457)</f>
        <v>3558023.46932</v>
      </c>
      <c r="D457" s="248">
        <f>D455-D456</f>
        <v>4199200.56466</v>
      </c>
      <c r="E457" s="256">
        <f aca="true" t="shared" si="174" ref="E457:J457">E455-E456</f>
        <v>2827941.26466</v>
      </c>
      <c r="F457" s="64">
        <f t="shared" si="174"/>
        <v>-2039097.7999999998</v>
      </c>
      <c r="G457" s="248">
        <f t="shared" si="174"/>
        <v>-255009.9599999999</v>
      </c>
      <c r="H457" s="256">
        <f t="shared" si="174"/>
        <v>-425332.29999999993</v>
      </c>
      <c r="I457" s="64">
        <f>I455-I456</f>
        <v>-749678.2999999999</v>
      </c>
      <c r="J457" s="248">
        <f t="shared" si="174"/>
        <v>0</v>
      </c>
      <c r="K457" s="256"/>
      <c r="L457" s="64">
        <f>L455-L456</f>
        <v>-667838.5</v>
      </c>
      <c r="M457" s="248">
        <f>M455-M456</f>
        <v>-235090.9599999999</v>
      </c>
      <c r="N457" s="256">
        <f>N455-N456</f>
        <v>-420039.1999999999</v>
      </c>
      <c r="O457" s="64">
        <f>O455-O456</f>
        <v>-764304.2</v>
      </c>
      <c r="P457" s="248">
        <f>P455-P456</f>
        <v>0</v>
      </c>
      <c r="Q457" s="256"/>
      <c r="R457" s="64">
        <f>R455-R456</f>
        <v>-667838.5</v>
      </c>
      <c r="S457" s="248">
        <f>S455-S456</f>
        <v>-240120.9599999999</v>
      </c>
      <c r="T457" s="256">
        <f>T455-T456</f>
        <v>-413207.39999999997</v>
      </c>
      <c r="U457" s="64">
        <f>U455-U456</f>
        <v>-752442.3999999999</v>
      </c>
      <c r="V457" s="248">
        <f>V455-V456</f>
        <v>0</v>
      </c>
      <c r="W457" s="256"/>
      <c r="X457" s="64">
        <f>X455-X456</f>
        <v>-667838.5</v>
      </c>
    </row>
    <row r="458" ht="12.75" customHeight="1" hidden="1"/>
    <row r="459" ht="12.75" customHeight="1" hidden="1"/>
    <row r="460" spans="2:3" ht="12.75" customHeight="1" hidden="1">
      <c r="B460" s="83" t="s">
        <v>335</v>
      </c>
      <c r="C460" s="182" t="s">
        <v>336</v>
      </c>
    </row>
    <row r="461" ht="12.75" customHeight="1" hidden="1"/>
    <row r="462" ht="12.75" customHeight="1" hidden="1">
      <c r="B462" s="105" t="s">
        <v>345</v>
      </c>
    </row>
    <row r="463" ht="12.75" customHeight="1" hidden="1"/>
    <row r="464" ht="12.75" customHeight="1" hidden="1"/>
  </sheetData>
  <sheetProtection/>
  <mergeCells count="75">
    <mergeCell ref="M291:X291"/>
    <mergeCell ref="M296:X296"/>
    <mergeCell ref="M301:X301"/>
    <mergeCell ref="M178:X178"/>
    <mergeCell ref="M140:X140"/>
    <mergeCell ref="M146:X146"/>
    <mergeCell ref="M152:X152"/>
    <mergeCell ref="M163:X163"/>
    <mergeCell ref="D369:L369"/>
    <mergeCell ref="M417:X417"/>
    <mergeCell ref="M310:X310"/>
    <mergeCell ref="M320:X320"/>
    <mergeCell ref="M326:X326"/>
    <mergeCell ref="M329:X329"/>
    <mergeCell ref="M332:X332"/>
    <mergeCell ref="M359:X359"/>
    <mergeCell ref="M365:X365"/>
    <mergeCell ref="M353:X353"/>
    <mergeCell ref="D332:L332"/>
    <mergeCell ref="D353:L353"/>
    <mergeCell ref="D359:L359"/>
    <mergeCell ref="D365:L365"/>
    <mergeCell ref="D152:L152"/>
    <mergeCell ref="D163:L163"/>
    <mergeCell ref="D178:L178"/>
    <mergeCell ref="D291:L291"/>
    <mergeCell ref="D420:L420"/>
    <mergeCell ref="D417:L417"/>
    <mergeCell ref="D296:L296"/>
    <mergeCell ref="D301:L301"/>
    <mergeCell ref="D310:L310"/>
    <mergeCell ref="D320:L320"/>
    <mergeCell ref="D326:L326"/>
    <mergeCell ref="D329:L329"/>
    <mergeCell ref="D377:L377"/>
    <mergeCell ref="D408:L408"/>
    <mergeCell ref="M420:W420"/>
    <mergeCell ref="M369:X369"/>
    <mergeCell ref="M377:X377"/>
    <mergeCell ref="M408:X408"/>
    <mergeCell ref="M414:X414"/>
    <mergeCell ref="C8:L8"/>
    <mergeCell ref="M32:X32"/>
    <mergeCell ref="D32:L32"/>
    <mergeCell ref="D38:L38"/>
    <mergeCell ref="D44:L44"/>
    <mergeCell ref="S10:X10"/>
    <mergeCell ref="D69:L69"/>
    <mergeCell ref="S11:U11"/>
    <mergeCell ref="V11:X11"/>
    <mergeCell ref="M10:R10"/>
    <mergeCell ref="M11:O11"/>
    <mergeCell ref="P11:R11"/>
    <mergeCell ref="M38:X38"/>
    <mergeCell ref="M44:X44"/>
    <mergeCell ref="M62:X62"/>
    <mergeCell ref="M69:X69"/>
    <mergeCell ref="D414:L414"/>
    <mergeCell ref="I1:L1"/>
    <mergeCell ref="I2:L2"/>
    <mergeCell ref="I3:L3"/>
    <mergeCell ref="I4:L4"/>
    <mergeCell ref="C5:L5"/>
    <mergeCell ref="C6:L6"/>
    <mergeCell ref="C7:L7"/>
    <mergeCell ref="D140:L140"/>
    <mergeCell ref="D146:L146"/>
    <mergeCell ref="A10:A12"/>
    <mergeCell ref="B10:B12"/>
    <mergeCell ref="C10:C12"/>
    <mergeCell ref="D10:F11"/>
    <mergeCell ref="G10:L10"/>
    <mergeCell ref="D62:L62"/>
    <mergeCell ref="G11:I11"/>
    <mergeCell ref="J11:L11"/>
  </mergeCells>
  <printOptions/>
  <pageMargins left="0.3937007874015748" right="0.15748031496062992" top="0.3937007874015748" bottom="0" header="0.31496062992125984" footer="0.15748031496062992"/>
  <pageSetup horizontalDpi="600" verticalDpi="600" orientation="landscape" paperSize="9" scale="60" r:id="rId1"/>
  <rowBreaks count="1" manualBreakCount="1">
    <brk id="416" max="23" man="1"/>
  </rowBreaks>
  <colBreaks count="1" manualBreakCount="1">
    <brk id="12" max="4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2016-10-26T12:38:23Z</cp:lastPrinted>
  <dcterms:created xsi:type="dcterms:W3CDTF">2013-10-08T11:20:39Z</dcterms:created>
  <dcterms:modified xsi:type="dcterms:W3CDTF">2016-10-27T04:59:54Z</dcterms:modified>
  <cp:category/>
  <cp:version/>
  <cp:contentType/>
  <cp:contentStatus/>
</cp:coreProperties>
</file>