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120" windowHeight="7830" activeTab="1"/>
  </bookViews>
  <sheets>
    <sheet name="Доходы" sheetId="1" r:id="rId1"/>
    <sheet name="Рассходы" sheetId="2" r:id="rId2"/>
    <sheet name="Рассчеты к бюджету" sheetId="3" r:id="rId3"/>
    <sheet name="Постановление." sheetId="4" r:id="rId4"/>
    <sheet name="Постан." sheetId="5" r:id="rId5"/>
  </sheets>
  <definedNames/>
  <calcPr fullCalcOnLoad="1"/>
</workbook>
</file>

<file path=xl/sharedStrings.xml><?xml version="1.0" encoding="utf-8"?>
<sst xmlns="http://schemas.openxmlformats.org/spreadsheetml/2006/main" count="389" uniqueCount="192">
  <si>
    <t>№ п/п</t>
  </si>
  <si>
    <t>Доходы</t>
  </si>
  <si>
    <t>Всего</t>
  </si>
  <si>
    <t>1 кв</t>
  </si>
  <si>
    <t>2 кв</t>
  </si>
  <si>
    <t>3 кв</t>
  </si>
  <si>
    <t>4 кв</t>
  </si>
  <si>
    <t>Численность населения</t>
  </si>
  <si>
    <t>Земельный налог</t>
  </si>
  <si>
    <t>Налог на имущ.</t>
  </si>
  <si>
    <t>Подоход.налог</t>
  </si>
  <si>
    <t>Дотация</t>
  </si>
  <si>
    <t>ЦБ</t>
  </si>
  <si>
    <t>ФФП МР</t>
  </si>
  <si>
    <t>ВУС</t>
  </si>
  <si>
    <t>Всего доходы:</t>
  </si>
  <si>
    <t>Глава МО "с.Хулисма".</t>
  </si>
  <si>
    <t>Гл. бухгалтер.</t>
  </si>
  <si>
    <t>Ш.С.Абачараев</t>
  </si>
  <si>
    <t>По аппарату</t>
  </si>
  <si>
    <t>Должность</t>
  </si>
  <si>
    <t>Долж.оклад</t>
  </si>
  <si>
    <t>Зарплата</t>
  </si>
  <si>
    <t>Надбавка %</t>
  </si>
  <si>
    <t>Колич.месяц.</t>
  </si>
  <si>
    <t>Сумма</t>
  </si>
  <si>
    <t>Мат.помощ</t>
  </si>
  <si>
    <t>На лечение</t>
  </si>
  <si>
    <t>211 ст.</t>
  </si>
  <si>
    <t>213 ст.</t>
  </si>
  <si>
    <t>Итого:</t>
  </si>
  <si>
    <t>№ статьи</t>
  </si>
  <si>
    <t>Примечание</t>
  </si>
  <si>
    <t>Прочие выплаты</t>
  </si>
  <si>
    <t>Транспортные</t>
  </si>
  <si>
    <t>Прочие расходы</t>
  </si>
  <si>
    <t>Приобр-е осн. Средств</t>
  </si>
  <si>
    <t>Расчеты по военкомату.</t>
  </si>
  <si>
    <t>Расчеты по ЦБ.</t>
  </si>
  <si>
    <t>Суточные</t>
  </si>
  <si>
    <t>Мат.затраты</t>
  </si>
  <si>
    <t>Глава</t>
  </si>
  <si>
    <t>Раздель</t>
  </si>
  <si>
    <t>Подразделение</t>
  </si>
  <si>
    <t>Цель статьи</t>
  </si>
  <si>
    <t>Вид рсхода</t>
  </si>
  <si>
    <t>Наименование статьи</t>
  </si>
  <si>
    <t>Статья</t>
  </si>
  <si>
    <t>Оплата труда</t>
  </si>
  <si>
    <t>Начисление на ФОТ</t>
  </si>
  <si>
    <t>Коммунальные услуги</t>
  </si>
  <si>
    <t>Увелич. стоимости материальных запасов</t>
  </si>
  <si>
    <t>ВСЕГО:</t>
  </si>
  <si>
    <t xml:space="preserve"> по доходам в сумме</t>
  </si>
  <si>
    <t>по расходам в сумме</t>
  </si>
  <si>
    <t>формируются за счет доходов от уплаты федеральных, региональных и мест-</t>
  </si>
  <si>
    <t xml:space="preserve">ных налогов и сборов по нормативам установленным законодательными ак- </t>
  </si>
  <si>
    <t>тами РФ,РД и настоящим постановлением:</t>
  </si>
  <si>
    <t>земельный налог - 100 %</t>
  </si>
  <si>
    <t>Утвердить:</t>
  </si>
  <si>
    <t>Председатель собрания</t>
  </si>
  <si>
    <t>Секретарь собрания</t>
  </si>
  <si>
    <t>1. Установить норматив расхода бюджетных средств на одного жителя в сумме</t>
  </si>
  <si>
    <t>Загс</t>
  </si>
  <si>
    <t>Ш. С. Абачараев</t>
  </si>
  <si>
    <t>Рсчеты по ЖКХ.</t>
  </si>
  <si>
    <t>имущественный налог   - 100%</t>
  </si>
  <si>
    <t xml:space="preserve">4. Разбивка доходов и расходов по кварталам прилагается.  </t>
  </si>
  <si>
    <t>0104</t>
  </si>
  <si>
    <t>001</t>
  </si>
  <si>
    <t>0801</t>
  </si>
  <si>
    <t>0503</t>
  </si>
  <si>
    <t>0203</t>
  </si>
  <si>
    <t>Рсчеты по КДЦ.</t>
  </si>
  <si>
    <t>РЕСПУБЛИКА ДАГЕСТАН</t>
  </si>
  <si>
    <t xml:space="preserve">АДМИНИСТРАЦИЯ МУНИЦИПАЛЬНОГО ОБРАЗОВАНИЯ </t>
  </si>
  <si>
    <t>«СЕЛО ХУЛИСМА» ЛАКСКОГО РАЙОНА</t>
  </si>
  <si>
    <t xml:space="preserve"> СЕЛЬСКОЕ ПОСЕЛЕНИЕ</t>
  </si>
  <si>
    <t xml:space="preserve"> </t>
  </si>
  <si>
    <t>Индекс: 368366, РД. Лакский район, село Хулисма тел. _______________</t>
  </si>
  <si>
    <t>0113</t>
  </si>
  <si>
    <t>500</t>
  </si>
  <si>
    <t>00113800</t>
  </si>
  <si>
    <t>Землемер</t>
  </si>
  <si>
    <t>Собственные налоги всего:</t>
  </si>
  <si>
    <t>Отчисление в фонды</t>
  </si>
  <si>
    <t xml:space="preserve">Примечание </t>
  </si>
  <si>
    <t>340 ст.</t>
  </si>
  <si>
    <t>1. Аппарат управления</t>
  </si>
  <si>
    <t>2. Культура</t>
  </si>
  <si>
    <t xml:space="preserve">3. ЖКХ  </t>
  </si>
  <si>
    <t>4. Спорт</t>
  </si>
  <si>
    <t>5. ЦБ</t>
  </si>
  <si>
    <t xml:space="preserve">6. ВУС </t>
  </si>
  <si>
    <t>Коли ч.шт.е д.</t>
  </si>
  <si>
    <t>Оклад (должн.ок лад), ставка зараб.плат ы руб.</t>
  </si>
  <si>
    <t>оклад (должностной оклад), ставка зараб.платы с учетом повышения за работу в</t>
  </si>
  <si>
    <t>Надбавки, руб</t>
  </si>
  <si>
    <t>Повышение оплаты труда за работу в условиях: высокогорья, безводность</t>
  </si>
  <si>
    <t>Компенсац ия до МРОТ (руб.)</t>
  </si>
  <si>
    <t>Месячный фонд заработной платы(руб)</t>
  </si>
  <si>
    <t>Профессия (должность)</t>
  </si>
  <si>
    <t>Стимулирующие</t>
  </si>
  <si>
    <t>%</t>
  </si>
  <si>
    <t>сумма</t>
  </si>
  <si>
    <t>за стаж непрерывной работы (20-30%)</t>
  </si>
  <si>
    <t>коэф.</t>
  </si>
  <si>
    <t>15</t>
  </si>
  <si>
    <t>25</t>
  </si>
  <si>
    <t>ИТОГО</t>
  </si>
  <si>
    <t>Дир КДЦ</t>
  </si>
  <si>
    <t>Худ.рук</t>
  </si>
  <si>
    <t>ИТОГО:</t>
  </si>
  <si>
    <t>Структурное подразделение</t>
  </si>
  <si>
    <t>Выслуга лет</t>
  </si>
  <si>
    <t>Денежное поошрение,1 оклад</t>
  </si>
  <si>
    <t>Надбавка за сложность,напряженность</t>
  </si>
  <si>
    <t>Глава МО</t>
  </si>
  <si>
    <t>Гл.бух.</t>
  </si>
  <si>
    <t>Мат. помощ</t>
  </si>
  <si>
    <t>Единовр. Пособие к отпуску</t>
  </si>
  <si>
    <t>Справочн о: разряд до I сентября 2009г.</t>
  </si>
  <si>
    <t>Норматив</t>
  </si>
  <si>
    <t>Население чел.</t>
  </si>
  <si>
    <t>На приобретение строит. Матер.</t>
  </si>
  <si>
    <t>Техработница</t>
  </si>
  <si>
    <t>за интенсивность и высокие результаты</t>
  </si>
  <si>
    <t>налог на доходы физических лиц - 2 %</t>
  </si>
  <si>
    <t>212 ст.</t>
  </si>
  <si>
    <t>226 ст.</t>
  </si>
  <si>
    <t>290 ст.</t>
  </si>
  <si>
    <t>310 ст.</t>
  </si>
  <si>
    <t>223 ст.</t>
  </si>
  <si>
    <t>На закупку твердого топлива</t>
  </si>
  <si>
    <t>Канхозрасходы</t>
  </si>
  <si>
    <t>Прочие расходы. Проведение различных мероприятий и праздников.</t>
  </si>
  <si>
    <t>111</t>
  </si>
  <si>
    <t>244</t>
  </si>
  <si>
    <t>122</t>
  </si>
  <si>
    <t>Перечисление налогов</t>
  </si>
  <si>
    <t>З/п по договору</t>
  </si>
  <si>
    <t>За электроэнергию</t>
  </si>
  <si>
    <t>Оплата за электроэнергию       12 500 кВт*3,16 руб=39 500 руб,</t>
  </si>
  <si>
    <t>На приобретение основных средств</t>
  </si>
  <si>
    <t>Увелич. Осн. Средств</t>
  </si>
  <si>
    <t>Л. А. Абидова</t>
  </si>
  <si>
    <t>Не налоговые доходы</t>
  </si>
  <si>
    <t>Специалист</t>
  </si>
  <si>
    <t>ПОСТАНОВЛЕНИЕ № 10</t>
  </si>
  <si>
    <t>Спорт</t>
  </si>
  <si>
    <t xml:space="preserve"> КДЦ</t>
  </si>
  <si>
    <t xml:space="preserve"> Загс</t>
  </si>
  <si>
    <t xml:space="preserve"> ЖКХ</t>
  </si>
  <si>
    <t>Аппарат упр.</t>
  </si>
  <si>
    <t>Справочно: разряд до I сентября 2009г.</t>
  </si>
  <si>
    <t>РЕШЕНИЕ № 2</t>
  </si>
  <si>
    <t>Расчёты к  бюджету на 2018 год МО "село Хулисма"</t>
  </si>
  <si>
    <t>8830020000</t>
  </si>
  <si>
    <t>9980051180</t>
  </si>
  <si>
    <t>Глава МО "с. Хулисма".</t>
  </si>
  <si>
    <t>Бюджет на 2018 год. МО "село Хулисма"</t>
  </si>
  <si>
    <t>ЕСХН</t>
  </si>
  <si>
    <t>Расходы на 2018 год</t>
  </si>
  <si>
    <t>Заработная плата         4480*12=53763</t>
  </si>
  <si>
    <t>Оклад (должн.ок лад), ставка зараб.платы руб.</t>
  </si>
  <si>
    <t xml:space="preserve">от   29 декабря  2017 г. </t>
  </si>
  <si>
    <t>1. Утвердить бюджет М.О. " село Хулисма" на 2018 год.</t>
  </si>
  <si>
    <t xml:space="preserve">Установить что доходы местного бюджета поступающие в 2018 году  </t>
  </si>
  <si>
    <t xml:space="preserve">1. Из фонда финансовой поддержки поселении (дотация) в сумме 1 449 000 р. </t>
  </si>
  <si>
    <t>2. Утвердить поступление местных налогов в бюджет 2018 г. в сумме  130 000р.</t>
  </si>
  <si>
    <t>3. Из фонда компенсации (ВУС) 70 000 руб.</t>
  </si>
  <si>
    <t>2. Субвенция на возмещение расходов связанные  недофинансирования в 2016 году 114 100 р.</t>
  </si>
  <si>
    <t xml:space="preserve">Заработная плата </t>
  </si>
  <si>
    <t xml:space="preserve">Заработная плата + отчисление в фонды ( по договору) </t>
  </si>
  <si>
    <t>Заработная плата</t>
  </si>
  <si>
    <t>Очередного заседания Собрания депутатов МО "село Хулисма"</t>
  </si>
  <si>
    <t>119</t>
  </si>
  <si>
    <t xml:space="preserve">Парус, интернет </t>
  </si>
  <si>
    <t>З/п по договору, отчисления+ подписка</t>
  </si>
  <si>
    <t>Субсидия на возмещение расходов связанные  недофинанс-ние в 2016 году</t>
  </si>
  <si>
    <t>242</t>
  </si>
  <si>
    <t>1-С, Фельдъегерь</t>
  </si>
  <si>
    <t>Оплата договоров: "Парус", Сан. Эп.станц. и другие.</t>
  </si>
  <si>
    <t>Благоустройство</t>
  </si>
  <si>
    <t xml:space="preserve"> Оплата з/п по договору специалист по ведению ООО "Парус" .</t>
  </si>
  <si>
    <t>Оплата по договорам.</t>
  </si>
  <si>
    <t>Оплата по договорам</t>
  </si>
  <si>
    <t>З/п по договору, отчисления</t>
  </si>
  <si>
    <t>851</t>
  </si>
  <si>
    <t>Использование личного автомобиля в служебных целях  2400 *12=8000</t>
  </si>
  <si>
    <t xml:space="preserve">3628 рублей: </t>
  </si>
  <si>
    <t>Об утверждении норматива на 2018 год.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</si>
</sst>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"/>
    <numFmt numFmtId="174" formatCode="#,##0&quot;р.&quot;"/>
    <numFmt numFmtId="175" formatCode="_-* #,##0_р_._-;\-* #,##0_р_._-;_-* &quot;-&quot;??_р_._-;_-@_-"/>
    <numFmt numFmtId="176" formatCode="#,##0_ ;\-#,##0\ "/>
    <numFmt numFmtId="177" formatCode="[$-FC19]d\ mmmm\ yyyy\ &quot;г.&quot;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_р_._-;\-* #,##0.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&quot;р.&quot;_-;\-* #,##0.0&quot;р.&quot;_-;_-* &quot;-&quot;?&quot;р.&quot;_-;_-@_-"/>
    <numFmt numFmtId="187" formatCode="_-* #,##0.0_р_._-;\-* #,##0.0_р_._-;_-* &quot;-&quot;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name val="Arial Cyr"/>
      <family val="2"/>
    </font>
    <font>
      <b/>
      <sz val="7"/>
      <color indexed="8"/>
      <name val="Calibri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b/>
      <sz val="7"/>
      <name val="Arial Cyr"/>
      <family val="0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2" fontId="3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168" fontId="5" fillId="0" borderId="10" xfId="0" applyNumberFormat="1" applyFont="1" applyBorder="1" applyAlignment="1">
      <alignment horizontal="left"/>
    </xf>
    <xf numFmtId="187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66" fillId="0" borderId="10" xfId="0" applyFont="1" applyBorder="1" applyAlignment="1">
      <alignment/>
    </xf>
    <xf numFmtId="169" fontId="0" fillId="0" borderId="0" xfId="0" applyNumberFormat="1" applyAlignment="1">
      <alignment/>
    </xf>
    <xf numFmtId="168" fontId="8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15" fillId="0" borderId="0" xfId="0" applyFont="1" applyAlignment="1">
      <alignment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/>
    </xf>
    <xf numFmtId="173" fontId="67" fillId="0" borderId="10" xfId="0" applyNumberFormat="1" applyFont="1" applyFill="1" applyBorder="1" applyAlignment="1">
      <alignment/>
    </xf>
    <xf numFmtId="1" fontId="6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6" fillId="0" borderId="10" xfId="60" applyNumberFormat="1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172" fontId="6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/>
    </xf>
    <xf numFmtId="172" fontId="67" fillId="0" borderId="10" xfId="0" applyNumberFormat="1" applyFont="1" applyFill="1" applyBorder="1" applyAlignment="1">
      <alignment/>
    </xf>
    <xf numFmtId="175" fontId="67" fillId="0" borderId="10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173" fontId="67" fillId="0" borderId="0" xfId="0" applyNumberFormat="1" applyFont="1" applyFill="1" applyAlignment="1">
      <alignment/>
    </xf>
    <xf numFmtId="172" fontId="67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0" fontId="68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1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wrapText="1"/>
      <protection/>
    </xf>
    <xf numFmtId="9" fontId="22" fillId="0" borderId="10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0" fontId="68" fillId="0" borderId="12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169" fontId="22" fillId="0" borderId="10" xfId="0" applyNumberFormat="1" applyFont="1" applyFill="1" applyBorder="1" applyAlignment="1" applyProtection="1">
      <alignment horizontal="center" vertical="top"/>
      <protection/>
    </xf>
    <xf numFmtId="0" fontId="68" fillId="0" borderId="10" xfId="0" applyFont="1" applyBorder="1" applyAlignment="1">
      <alignment/>
    </xf>
    <xf numFmtId="169" fontId="22" fillId="0" borderId="10" xfId="0" applyNumberFormat="1" applyFont="1" applyFill="1" applyBorder="1" applyAlignment="1" applyProtection="1">
      <alignment horizontal="left" vertical="top" indent="1"/>
      <protection/>
    </xf>
    <xf numFmtId="0" fontId="23" fillId="0" borderId="10" xfId="0" applyNumberFormat="1" applyFont="1" applyFill="1" applyBorder="1" applyAlignment="1" applyProtection="1">
      <alignment horizontal="left" vertical="top"/>
      <protection/>
    </xf>
    <xf numFmtId="169" fontId="23" fillId="0" borderId="10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169" fontId="22" fillId="0" borderId="13" xfId="0" applyNumberFormat="1" applyFont="1" applyFill="1" applyBorder="1" applyAlignment="1" applyProtection="1">
      <alignment horizontal="center" vertical="top"/>
      <protection/>
    </xf>
    <xf numFmtId="169" fontId="23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169" fontId="25" fillId="0" borderId="10" xfId="0" applyNumberFormat="1" applyFont="1" applyFill="1" applyBorder="1" applyAlignment="1" applyProtection="1">
      <alignment horizontal="center" vertical="top"/>
      <protection/>
    </xf>
    <xf numFmtId="1" fontId="25" fillId="0" borderId="10" xfId="0" applyNumberFormat="1" applyFont="1" applyFill="1" applyBorder="1" applyAlignment="1" applyProtection="1">
      <alignment horizontal="center" vertical="top"/>
      <protection/>
    </xf>
    <xf numFmtId="169" fontId="25" fillId="0" borderId="13" xfId="0" applyNumberFormat="1" applyFont="1" applyFill="1" applyBorder="1" applyAlignment="1" applyProtection="1">
      <alignment horizontal="center" vertical="top"/>
      <protection/>
    </xf>
    <xf numFmtId="0" fontId="68" fillId="0" borderId="12" xfId="0" applyFont="1" applyBorder="1" applyAlignment="1">
      <alignment horizontal="left"/>
    </xf>
    <xf numFmtId="174" fontId="68" fillId="0" borderId="10" xfId="0" applyNumberFormat="1" applyFont="1" applyBorder="1" applyAlignment="1">
      <alignment/>
    </xf>
    <xf numFmtId="0" fontId="68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/>
    </xf>
    <xf numFmtId="174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4" fontId="21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8" fillId="0" borderId="11" xfId="0" applyFont="1" applyBorder="1" applyAlignment="1">
      <alignment/>
    </xf>
    <xf numFmtId="174" fontId="68" fillId="0" borderId="17" xfId="0" applyNumberFormat="1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8" xfId="0" applyFont="1" applyBorder="1" applyAlignment="1">
      <alignment/>
    </xf>
    <xf numFmtId="0" fontId="69" fillId="0" borderId="19" xfId="0" applyFont="1" applyBorder="1" applyAlignment="1">
      <alignment/>
    </xf>
    <xf numFmtId="174" fontId="69" fillId="0" borderId="20" xfId="0" applyNumberFormat="1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172" fontId="68" fillId="0" borderId="10" xfId="0" applyNumberFormat="1" applyFont="1" applyBorder="1" applyAlignment="1">
      <alignment/>
    </xf>
    <xf numFmtId="173" fontId="68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8" fillId="0" borderId="24" xfId="0" applyFont="1" applyBorder="1" applyAlignment="1">
      <alignment horizontal="left"/>
    </xf>
    <xf numFmtId="174" fontId="68" fillId="0" borderId="25" xfId="0" applyNumberFormat="1" applyFont="1" applyBorder="1" applyAlignment="1">
      <alignment/>
    </xf>
    <xf numFmtId="0" fontId="68" fillId="0" borderId="18" xfId="0" applyFont="1" applyBorder="1" applyAlignment="1">
      <alignment horizontal="left"/>
    </xf>
    <xf numFmtId="0" fontId="21" fillId="0" borderId="19" xfId="0" applyFont="1" applyBorder="1" applyAlignment="1">
      <alignment/>
    </xf>
    <xf numFmtId="0" fontId="22" fillId="0" borderId="26" xfId="0" applyNumberFormat="1" applyFont="1" applyFill="1" applyBorder="1" applyAlignment="1" applyProtection="1">
      <alignment/>
      <protection/>
    </xf>
    <xf numFmtId="0" fontId="22" fillId="0" borderId="27" xfId="0" applyNumberFormat="1" applyFont="1" applyFill="1" applyBorder="1" applyAlignment="1" applyProtection="1">
      <alignment/>
      <protection/>
    </xf>
    <xf numFmtId="0" fontId="22" fillId="0" borderId="28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left" vertical="top" indent="1"/>
      <protection/>
    </xf>
    <xf numFmtId="176" fontId="22" fillId="0" borderId="10" xfId="0" applyNumberFormat="1" applyFont="1" applyFill="1" applyBorder="1" applyAlignment="1" applyProtection="1">
      <alignment horizontal="left" vertical="top" indent="1"/>
      <protection/>
    </xf>
    <xf numFmtId="176" fontId="68" fillId="0" borderId="10" xfId="0" applyNumberFormat="1" applyFont="1" applyBorder="1" applyAlignment="1">
      <alignment horizontal="center"/>
    </xf>
    <xf numFmtId="0" fontId="25" fillId="0" borderId="12" xfId="0" applyNumberFormat="1" applyFont="1" applyFill="1" applyBorder="1" applyAlignment="1" applyProtection="1">
      <alignment vertical="top"/>
      <protection/>
    </xf>
    <xf numFmtId="176" fontId="25" fillId="0" borderId="10" xfId="0" applyNumberFormat="1" applyFont="1" applyFill="1" applyBorder="1" applyAlignment="1" applyProtection="1">
      <alignment horizontal="center" vertical="top"/>
      <protection/>
    </xf>
    <xf numFmtId="164" fontId="22" fillId="0" borderId="10" xfId="0" applyNumberFormat="1" applyFont="1" applyFill="1" applyBorder="1" applyAlignment="1" applyProtection="1">
      <alignment horizontal="right" wrapText="1"/>
      <protection/>
    </xf>
    <xf numFmtId="174" fontId="68" fillId="0" borderId="10" xfId="0" applyNumberFormat="1" applyFont="1" applyBorder="1" applyAlignment="1">
      <alignment horizontal="right"/>
    </xf>
    <xf numFmtId="0" fontId="68" fillId="0" borderId="30" xfId="0" applyFont="1" applyBorder="1" applyAlignment="1">
      <alignment horizontal="left"/>
    </xf>
    <xf numFmtId="0" fontId="68" fillId="0" borderId="16" xfId="0" applyFont="1" applyBorder="1" applyAlignment="1">
      <alignment/>
    </xf>
    <xf numFmtId="0" fontId="68" fillId="0" borderId="0" xfId="0" applyFont="1" applyBorder="1" applyAlignment="1">
      <alignment horizontal="center" wrapText="1"/>
    </xf>
    <xf numFmtId="0" fontId="24" fillId="0" borderId="12" xfId="0" applyNumberFormat="1" applyFont="1" applyFill="1" applyBorder="1" applyAlignment="1" applyProtection="1">
      <alignment horizontal="left" vertical="top" indent="3"/>
      <protection/>
    </xf>
    <xf numFmtId="0" fontId="24" fillId="0" borderId="10" xfId="0" applyNumberFormat="1" applyFont="1" applyFill="1" applyBorder="1" applyAlignment="1" applyProtection="1">
      <alignment horizontal="left" vertical="top" indent="3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69" fillId="0" borderId="13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3" fontId="66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0" xfId="0" applyFont="1" applyAlignment="1">
      <alignment/>
    </xf>
    <xf numFmtId="3" fontId="27" fillId="0" borderId="10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66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 horizontal="left"/>
    </xf>
    <xf numFmtId="3" fontId="66" fillId="0" borderId="1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17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left"/>
    </xf>
    <xf numFmtId="0" fontId="69" fillId="0" borderId="31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2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66" fillId="0" borderId="28" xfId="0" applyNumberFormat="1" applyFont="1" applyBorder="1" applyAlignment="1">
      <alignment horizontal="center"/>
    </xf>
    <xf numFmtId="3" fontId="66" fillId="0" borderId="33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3" fontId="6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3" fontId="13" fillId="0" borderId="28" xfId="0" applyNumberFormat="1" applyFont="1" applyBorder="1" applyAlignment="1">
      <alignment horizontal="center" wrapText="1"/>
    </xf>
    <xf numFmtId="3" fontId="13" fillId="0" borderId="3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3" fontId="70" fillId="0" borderId="10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66" fillId="0" borderId="28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66" fillId="0" borderId="10" xfId="0" applyFont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6" fillId="0" borderId="3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6" fillId="0" borderId="12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2" fillId="0" borderId="17" xfId="0" applyNumberFormat="1" applyFont="1" applyFill="1" applyBorder="1" applyAlignment="1" applyProtection="1">
      <alignment horizontal="left" wrapText="1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0" fontId="22" fillId="0" borderId="36" xfId="0" applyNumberFormat="1" applyFont="1" applyFill="1" applyBorder="1" applyAlignment="1" applyProtection="1">
      <alignment horizontal="left" wrapText="1"/>
      <protection/>
    </xf>
    <xf numFmtId="0" fontId="22" fillId="0" borderId="13" xfId="0" applyNumberFormat="1" applyFont="1" applyFill="1" applyBorder="1" applyAlignment="1" applyProtection="1">
      <alignment horizontal="left" wrapText="1"/>
      <protection/>
    </xf>
    <xf numFmtId="0" fontId="22" fillId="0" borderId="10" xfId="0" applyNumberFormat="1" applyFont="1" applyFill="1" applyBorder="1" applyAlignment="1" applyProtection="1">
      <alignment horizontal="left" indent="1"/>
      <protection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68" fillId="0" borderId="17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22" fillId="0" borderId="12" xfId="0" applyNumberFormat="1" applyFont="1" applyFill="1" applyBorder="1" applyAlignment="1" applyProtection="1">
      <alignment horizontal="left" wrapText="1"/>
      <protection/>
    </xf>
    <xf numFmtId="0" fontId="22" fillId="0" borderId="28" xfId="0" applyNumberFormat="1" applyFont="1" applyFill="1" applyBorder="1" applyAlignment="1" applyProtection="1">
      <alignment horizontal="center" wrapText="1"/>
      <protection/>
    </xf>
    <xf numFmtId="0" fontId="22" fillId="0" borderId="33" xfId="0" applyNumberFormat="1" applyFont="1" applyFill="1" applyBorder="1" applyAlignment="1" applyProtection="1">
      <alignment horizontal="center" wrapText="1"/>
      <protection/>
    </xf>
    <xf numFmtId="0" fontId="22" fillId="0" borderId="17" xfId="0" applyNumberFormat="1" applyFont="1" applyFill="1" applyBorder="1" applyAlignment="1" applyProtection="1">
      <alignment horizontal="center" wrapText="1"/>
      <protection/>
    </xf>
    <xf numFmtId="0" fontId="22" fillId="0" borderId="17" xfId="0" applyNumberFormat="1" applyFont="1" applyFill="1" applyBorder="1" applyAlignment="1" applyProtection="1">
      <alignment horizontal="center"/>
      <protection/>
    </xf>
    <xf numFmtId="0" fontId="22" fillId="0" borderId="37" xfId="0" applyNumberFormat="1" applyFont="1" applyFill="1" applyBorder="1" applyAlignment="1" applyProtection="1">
      <alignment horizontal="left" wrapText="1"/>
      <protection/>
    </xf>
    <xf numFmtId="0" fontId="22" fillId="0" borderId="35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left" wrapText="1"/>
      <protection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67" fillId="0" borderId="28" xfId="0" applyFont="1" applyBorder="1" applyAlignment="1">
      <alignment horizontal="left"/>
    </xf>
    <xf numFmtId="0" fontId="67" fillId="0" borderId="29" xfId="0" applyFont="1" applyBorder="1" applyAlignment="1">
      <alignment horizontal="left"/>
    </xf>
    <xf numFmtId="0" fontId="67" fillId="0" borderId="42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2" fillId="0" borderId="34" xfId="0" applyNumberFormat="1" applyFont="1" applyFill="1" applyBorder="1" applyAlignment="1" applyProtection="1">
      <alignment horizontal="left" indent="1"/>
      <protection/>
    </xf>
    <xf numFmtId="0" fontId="22" fillId="0" borderId="25" xfId="0" applyNumberFormat="1" applyFont="1" applyFill="1" applyBorder="1" applyAlignment="1" applyProtection="1">
      <alignment horizontal="left" indent="1"/>
      <protection/>
    </xf>
    <xf numFmtId="0" fontId="22" fillId="0" borderId="34" xfId="0" applyNumberFormat="1" applyFont="1" applyFill="1" applyBorder="1" applyAlignment="1" applyProtection="1">
      <alignment horizontal="left"/>
      <protection/>
    </xf>
    <xf numFmtId="0" fontId="22" fillId="0" borderId="25" xfId="0" applyNumberFormat="1" applyFont="1" applyFill="1" applyBorder="1" applyAlignment="1" applyProtection="1">
      <alignment horizontal="left"/>
      <protection/>
    </xf>
    <xf numFmtId="0" fontId="67" fillId="0" borderId="10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22" fillId="0" borderId="18" xfId="0" applyNumberFormat="1" applyFont="1" applyFill="1" applyBorder="1" applyAlignment="1" applyProtection="1">
      <alignment horizontal="left" wrapText="1"/>
      <protection/>
    </xf>
    <xf numFmtId="0" fontId="22" fillId="0" borderId="30" xfId="0" applyNumberFormat="1" applyFont="1" applyFill="1" applyBorder="1" applyAlignment="1" applyProtection="1">
      <alignment horizontal="left" wrapText="1"/>
      <protection/>
    </xf>
    <xf numFmtId="0" fontId="22" fillId="0" borderId="24" xfId="0" applyNumberFormat="1" applyFont="1" applyFill="1" applyBorder="1" applyAlignment="1" applyProtection="1">
      <alignment horizontal="left" wrapText="1"/>
      <protection/>
    </xf>
    <xf numFmtId="0" fontId="68" fillId="0" borderId="17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22" fillId="0" borderId="44" xfId="0" applyNumberFormat="1" applyFont="1" applyFill="1" applyBorder="1" applyAlignment="1" applyProtection="1">
      <alignment horizontal="center" wrapText="1"/>
      <protection/>
    </xf>
    <xf numFmtId="0" fontId="22" fillId="0" borderId="45" xfId="0" applyNumberFormat="1" applyFont="1" applyFill="1" applyBorder="1" applyAlignment="1" applyProtection="1">
      <alignment horizontal="center" wrapText="1"/>
      <protection/>
    </xf>
    <xf numFmtId="0" fontId="22" fillId="0" borderId="46" xfId="0" applyNumberFormat="1" applyFont="1" applyFill="1" applyBorder="1" applyAlignment="1" applyProtection="1">
      <alignment horizontal="center" wrapText="1"/>
      <protection/>
    </xf>
    <xf numFmtId="0" fontId="22" fillId="0" borderId="47" xfId="0" applyNumberFormat="1" applyFont="1" applyFill="1" applyBorder="1" applyAlignment="1" applyProtection="1">
      <alignment horizontal="center" wrapText="1"/>
      <protection/>
    </xf>
    <xf numFmtId="0" fontId="22" fillId="0" borderId="48" xfId="0" applyNumberFormat="1" applyFont="1" applyFill="1" applyBorder="1" applyAlignment="1" applyProtection="1">
      <alignment horizontal="center" wrapText="1"/>
      <protection/>
    </xf>
    <xf numFmtId="0" fontId="22" fillId="0" borderId="49" xfId="0" applyNumberFormat="1" applyFont="1" applyFill="1" applyBorder="1" applyAlignment="1" applyProtection="1">
      <alignment horizontal="center" wrapText="1"/>
      <protection/>
    </xf>
    <xf numFmtId="0" fontId="22" fillId="0" borderId="16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2" fillId="0" borderId="23" xfId="0" applyNumberFormat="1" applyFont="1" applyFill="1" applyBorder="1" applyAlignment="1" applyProtection="1">
      <alignment horizontal="center" wrapText="1"/>
      <protection/>
    </xf>
    <xf numFmtId="0" fontId="70" fillId="0" borderId="10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68" fillId="0" borderId="11" xfId="0" applyFont="1" applyBorder="1" applyAlignment="1">
      <alignment horizontal="left" wrapText="1"/>
    </xf>
    <xf numFmtId="0" fontId="68" fillId="0" borderId="17" xfId="0" applyFont="1" applyBorder="1" applyAlignment="1">
      <alignment horizontal="left" wrapText="1"/>
    </xf>
    <xf numFmtId="0" fontId="68" fillId="0" borderId="12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8" fillId="0" borderId="50" xfId="0" applyFont="1" applyBorder="1" applyAlignment="1">
      <alignment/>
    </xf>
    <xf numFmtId="0" fontId="68" fillId="0" borderId="33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top"/>
      <protection/>
    </xf>
    <xf numFmtId="0" fontId="25" fillId="0" borderId="52" xfId="0" applyNumberFormat="1" applyFont="1" applyFill="1" applyBorder="1" applyAlignment="1" applyProtection="1">
      <alignment horizontal="center" vertical="top"/>
      <protection/>
    </xf>
    <xf numFmtId="0" fontId="25" fillId="0" borderId="53" xfId="0" applyNumberFormat="1" applyFont="1" applyFill="1" applyBorder="1" applyAlignment="1" applyProtection="1">
      <alignment horizontal="center" vertical="top"/>
      <protection/>
    </xf>
    <xf numFmtId="0" fontId="67" fillId="0" borderId="17" xfId="0" applyFont="1" applyBorder="1" applyAlignment="1">
      <alignment horizontal="left"/>
    </xf>
    <xf numFmtId="0" fontId="67" fillId="0" borderId="36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9" fillId="0" borderId="15" xfId="0" applyFont="1" applyBorder="1" applyAlignment="1">
      <alignment horizontal="left"/>
    </xf>
    <xf numFmtId="0" fontId="69" fillId="0" borderId="43" xfId="0" applyFont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7</xdr:col>
      <xdr:colOff>409575</xdr:colOff>
      <xdr:row>12</xdr:row>
      <xdr:rowOff>47625</xdr:rowOff>
    </xdr:to>
    <xdr:sp>
      <xdr:nvSpPr>
        <xdr:cNvPr id="1" name="Line 4"/>
        <xdr:cNvSpPr>
          <a:spLocks/>
        </xdr:cNvSpPr>
      </xdr:nvSpPr>
      <xdr:spPr>
        <a:xfrm flipV="1">
          <a:off x="0" y="2324100"/>
          <a:ext cx="5038725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266700</xdr:colOff>
      <xdr:row>0</xdr:row>
      <xdr:rowOff>47625</xdr:rowOff>
    </xdr:from>
    <xdr:to>
      <xdr:col>4</xdr:col>
      <xdr:colOff>590550</xdr:colOff>
      <xdr:row>4</xdr:row>
      <xdr:rowOff>180975</xdr:rowOff>
    </xdr:to>
    <xdr:pic>
      <xdr:nvPicPr>
        <xdr:cNvPr id="2" name="Рисунок 5" descr="ORD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7</xdr:col>
      <xdr:colOff>409575</xdr:colOff>
      <xdr:row>12</xdr:row>
      <xdr:rowOff>47625</xdr:rowOff>
    </xdr:to>
    <xdr:sp>
      <xdr:nvSpPr>
        <xdr:cNvPr id="1" name="Line 4"/>
        <xdr:cNvSpPr>
          <a:spLocks/>
        </xdr:cNvSpPr>
      </xdr:nvSpPr>
      <xdr:spPr>
        <a:xfrm flipV="1">
          <a:off x="0" y="2514600"/>
          <a:ext cx="5257800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266700</xdr:colOff>
      <xdr:row>0</xdr:row>
      <xdr:rowOff>47625</xdr:rowOff>
    </xdr:from>
    <xdr:to>
      <xdr:col>4</xdr:col>
      <xdr:colOff>361950</xdr:colOff>
      <xdr:row>5</xdr:row>
      <xdr:rowOff>57150</xdr:rowOff>
    </xdr:to>
    <xdr:pic>
      <xdr:nvPicPr>
        <xdr:cNvPr id="2" name="Рисунок 6" descr="ORD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M26" sqref="M26"/>
    </sheetView>
  </sheetViews>
  <sheetFormatPr defaultColWidth="9.140625" defaultRowHeight="15"/>
  <cols>
    <col min="1" max="1" width="5.28125" style="135" customWidth="1"/>
    <col min="2" max="2" width="10.421875" style="135" customWidth="1"/>
    <col min="3" max="3" width="7.57421875" style="135" customWidth="1"/>
    <col min="4" max="4" width="10.57421875" style="135" customWidth="1"/>
    <col min="5" max="5" width="6.8515625" style="135" customWidth="1"/>
    <col min="6" max="6" width="2.00390625" style="135" customWidth="1"/>
    <col min="7" max="7" width="5.7109375" style="135" customWidth="1"/>
    <col min="8" max="8" width="4.57421875" style="135" customWidth="1"/>
    <col min="9" max="9" width="5.7109375" style="135" customWidth="1"/>
    <col min="10" max="10" width="4.421875" style="135" customWidth="1"/>
    <col min="11" max="11" width="5.7109375" style="135" customWidth="1"/>
    <col min="12" max="12" width="3.7109375" style="135" customWidth="1"/>
    <col min="13" max="13" width="10.57421875" style="135" customWidth="1"/>
    <col min="14" max="14" width="8.421875" style="135" customWidth="1"/>
    <col min="15" max="15" width="9.7109375" style="135" customWidth="1"/>
    <col min="16" max="16" width="9.7109375" style="135" bestFit="1" customWidth="1"/>
    <col min="17" max="16384" width="9.140625" style="135" customWidth="1"/>
  </cols>
  <sheetData>
    <row r="1" spans="1:15" ht="15.75">
      <c r="A1" s="186" t="s">
        <v>160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ht="10.5" customHeight="1"/>
    <row r="3" spans="1:13" s="136" customFormat="1" ht="25.5">
      <c r="A3" s="1" t="s">
        <v>0</v>
      </c>
      <c r="B3" s="187" t="s">
        <v>1</v>
      </c>
      <c r="C3" s="187"/>
      <c r="D3" s="187"/>
      <c r="E3" s="187" t="s">
        <v>2</v>
      </c>
      <c r="F3" s="187"/>
      <c r="G3" s="181" t="s">
        <v>3</v>
      </c>
      <c r="H3" s="182"/>
      <c r="I3" s="181" t="s">
        <v>4</v>
      </c>
      <c r="J3" s="182"/>
      <c r="K3" s="181" t="s">
        <v>5</v>
      </c>
      <c r="L3" s="182"/>
      <c r="M3" s="32" t="s">
        <v>6</v>
      </c>
    </row>
    <row r="4" spans="1:13" s="139" customFormat="1" ht="12.75">
      <c r="A4" s="137"/>
      <c r="B4" s="183" t="s">
        <v>7</v>
      </c>
      <c r="C4" s="184"/>
      <c r="D4" s="185"/>
      <c r="E4" s="164">
        <v>486</v>
      </c>
      <c r="F4" s="164"/>
      <c r="G4" s="179"/>
      <c r="H4" s="180"/>
      <c r="I4" s="179"/>
      <c r="J4" s="180"/>
      <c r="K4" s="179"/>
      <c r="L4" s="180"/>
      <c r="M4" s="138"/>
    </row>
    <row r="5" spans="1:13" ht="12.75">
      <c r="A5" s="23">
        <v>1</v>
      </c>
      <c r="B5" s="168" t="s">
        <v>8</v>
      </c>
      <c r="C5" s="168"/>
      <c r="D5" s="168"/>
      <c r="E5" s="167">
        <v>99000</v>
      </c>
      <c r="F5" s="167"/>
      <c r="G5" s="162">
        <f aca="true" t="shared" si="0" ref="G5:G10">E5/4</f>
        <v>24750</v>
      </c>
      <c r="H5" s="163"/>
      <c r="I5" s="162">
        <f aca="true" t="shared" si="1" ref="I5:I10">E5/4</f>
        <v>24750</v>
      </c>
      <c r="J5" s="163"/>
      <c r="K5" s="162">
        <f aca="true" t="shared" si="2" ref="K5:K10">E5/4</f>
        <v>24750</v>
      </c>
      <c r="L5" s="163"/>
      <c r="M5" s="140">
        <f aca="true" t="shared" si="3" ref="M5:M10">E5/4</f>
        <v>24750</v>
      </c>
    </row>
    <row r="6" spans="1:13" ht="12.75">
      <c r="A6" s="23">
        <v>2</v>
      </c>
      <c r="B6" s="168" t="s">
        <v>9</v>
      </c>
      <c r="C6" s="168"/>
      <c r="D6" s="168"/>
      <c r="E6" s="167">
        <v>16000</v>
      </c>
      <c r="F6" s="167"/>
      <c r="G6" s="162">
        <f t="shared" si="0"/>
        <v>4000</v>
      </c>
      <c r="H6" s="163"/>
      <c r="I6" s="162">
        <f t="shared" si="1"/>
        <v>4000</v>
      </c>
      <c r="J6" s="163"/>
      <c r="K6" s="162">
        <f t="shared" si="2"/>
        <v>4000</v>
      </c>
      <c r="L6" s="163"/>
      <c r="M6" s="140">
        <f t="shared" si="3"/>
        <v>4000</v>
      </c>
    </row>
    <row r="7" spans="1:13" ht="12.75">
      <c r="A7" s="23">
        <v>3</v>
      </c>
      <c r="B7" s="168" t="s">
        <v>10</v>
      </c>
      <c r="C7" s="168"/>
      <c r="D7" s="168"/>
      <c r="E7" s="167">
        <v>13000</v>
      </c>
      <c r="F7" s="167"/>
      <c r="G7" s="162">
        <f t="shared" si="0"/>
        <v>3250</v>
      </c>
      <c r="H7" s="163"/>
      <c r="I7" s="162">
        <f t="shared" si="1"/>
        <v>3250</v>
      </c>
      <c r="J7" s="163"/>
      <c r="K7" s="162">
        <f t="shared" si="2"/>
        <v>3250</v>
      </c>
      <c r="L7" s="163"/>
      <c r="M7" s="140">
        <f t="shared" si="3"/>
        <v>3250</v>
      </c>
    </row>
    <row r="8" spans="1:13" ht="12.75">
      <c r="A8" s="23">
        <v>4</v>
      </c>
      <c r="B8" s="169" t="s">
        <v>161</v>
      </c>
      <c r="C8" s="170"/>
      <c r="D8" s="171"/>
      <c r="E8" s="162">
        <v>1000</v>
      </c>
      <c r="F8" s="163"/>
      <c r="G8" s="162">
        <f t="shared" si="0"/>
        <v>250</v>
      </c>
      <c r="H8" s="163"/>
      <c r="I8" s="162">
        <f t="shared" si="1"/>
        <v>250</v>
      </c>
      <c r="J8" s="163"/>
      <c r="K8" s="162">
        <f t="shared" si="2"/>
        <v>250</v>
      </c>
      <c r="L8" s="163"/>
      <c r="M8" s="152">
        <f t="shared" si="3"/>
        <v>250</v>
      </c>
    </row>
    <row r="9" spans="1:13" ht="12.75">
      <c r="A9" s="23">
        <v>5</v>
      </c>
      <c r="B9" s="168" t="s">
        <v>146</v>
      </c>
      <c r="C9" s="168"/>
      <c r="D9" s="168"/>
      <c r="E9" s="167">
        <v>1000</v>
      </c>
      <c r="F9" s="167"/>
      <c r="G9" s="162">
        <f t="shared" si="0"/>
        <v>250</v>
      </c>
      <c r="H9" s="163"/>
      <c r="I9" s="162">
        <f t="shared" si="1"/>
        <v>250</v>
      </c>
      <c r="J9" s="163"/>
      <c r="K9" s="162">
        <f t="shared" si="2"/>
        <v>250</v>
      </c>
      <c r="L9" s="163"/>
      <c r="M9" s="140">
        <f t="shared" si="3"/>
        <v>250</v>
      </c>
    </row>
    <row r="10" spans="1:13" s="142" customFormat="1" ht="12.75">
      <c r="A10" s="141">
        <v>6</v>
      </c>
      <c r="B10" s="177" t="s">
        <v>84</v>
      </c>
      <c r="C10" s="177"/>
      <c r="D10" s="177"/>
      <c r="E10" s="178">
        <f>SUM(E5:E9)</f>
        <v>130000</v>
      </c>
      <c r="F10" s="178"/>
      <c r="G10" s="162">
        <f t="shared" si="0"/>
        <v>32500</v>
      </c>
      <c r="H10" s="163"/>
      <c r="I10" s="162">
        <f t="shared" si="1"/>
        <v>32500</v>
      </c>
      <c r="J10" s="163"/>
      <c r="K10" s="162">
        <f t="shared" si="2"/>
        <v>32500</v>
      </c>
      <c r="L10" s="163"/>
      <c r="M10" s="140">
        <f t="shared" si="3"/>
        <v>32500</v>
      </c>
    </row>
    <row r="11" spans="1:15" s="139" customFormat="1" ht="12.75">
      <c r="A11" s="137">
        <v>7</v>
      </c>
      <c r="B11" s="177" t="s">
        <v>11</v>
      </c>
      <c r="C11" s="177"/>
      <c r="D11" s="177"/>
      <c r="E11" s="165">
        <v>1449000</v>
      </c>
      <c r="F11" s="165"/>
      <c r="G11" s="162">
        <f>E11/12*4</f>
        <v>483000</v>
      </c>
      <c r="H11" s="163"/>
      <c r="I11" s="162">
        <f>E11/12*3</f>
        <v>362250</v>
      </c>
      <c r="J11" s="163"/>
      <c r="K11" s="162">
        <f>E11/12*3</f>
        <v>362250</v>
      </c>
      <c r="L11" s="163"/>
      <c r="M11" s="140">
        <f>E11/12*2</f>
        <v>241500</v>
      </c>
      <c r="O11" s="144"/>
    </row>
    <row r="12" spans="1:13" s="146" customFormat="1" ht="39.75" customHeight="1">
      <c r="A12" s="145">
        <v>8</v>
      </c>
      <c r="B12" s="172" t="s">
        <v>179</v>
      </c>
      <c r="C12" s="173"/>
      <c r="D12" s="174"/>
      <c r="E12" s="175">
        <v>114100</v>
      </c>
      <c r="F12" s="176"/>
      <c r="G12" s="162">
        <f>E12/4</f>
        <v>28525</v>
      </c>
      <c r="H12" s="163"/>
      <c r="I12" s="162">
        <f>E12/4</f>
        <v>28525</v>
      </c>
      <c r="J12" s="163"/>
      <c r="K12" s="162">
        <f>E12/4</f>
        <v>28525</v>
      </c>
      <c r="L12" s="163"/>
      <c r="M12" s="140">
        <f>E12/4</f>
        <v>28525</v>
      </c>
    </row>
    <row r="13" spans="1:13" ht="0.75" customHeight="1">
      <c r="A13" s="23">
        <v>9</v>
      </c>
      <c r="B13" s="169" t="s">
        <v>12</v>
      </c>
      <c r="C13" s="170"/>
      <c r="D13" s="171"/>
      <c r="E13" s="162"/>
      <c r="F13" s="163"/>
      <c r="G13" s="162">
        <f>E13/12*4</f>
        <v>0</v>
      </c>
      <c r="H13" s="163"/>
      <c r="I13" s="162">
        <f>E13/12*3</f>
        <v>0</v>
      </c>
      <c r="J13" s="163"/>
      <c r="K13" s="162">
        <f>E13/12*3</f>
        <v>0</v>
      </c>
      <c r="L13" s="163"/>
      <c r="M13" s="140">
        <f>E13/12*2</f>
        <v>0</v>
      </c>
    </row>
    <row r="14" spans="1:13" ht="12.75">
      <c r="A14" s="23">
        <v>9</v>
      </c>
      <c r="B14" s="168" t="s">
        <v>13</v>
      </c>
      <c r="C14" s="168"/>
      <c r="D14" s="168"/>
      <c r="E14" s="167"/>
      <c r="F14" s="167"/>
      <c r="G14" s="162"/>
      <c r="H14" s="163"/>
      <c r="I14" s="162"/>
      <c r="J14" s="163"/>
      <c r="K14" s="162"/>
      <c r="L14" s="163"/>
      <c r="M14" s="140"/>
    </row>
    <row r="15" spans="1:13" ht="12.75">
      <c r="A15" s="23">
        <v>10</v>
      </c>
      <c r="B15" s="168" t="s">
        <v>63</v>
      </c>
      <c r="C15" s="168"/>
      <c r="D15" s="168"/>
      <c r="E15" s="167"/>
      <c r="F15" s="167"/>
      <c r="G15" s="162"/>
      <c r="H15" s="163"/>
      <c r="I15" s="162"/>
      <c r="J15" s="163"/>
      <c r="K15" s="162"/>
      <c r="L15" s="163"/>
      <c r="M15" s="140"/>
    </row>
    <row r="16" spans="1:13" ht="12.75">
      <c r="A16" s="23">
        <v>11</v>
      </c>
      <c r="B16" s="168" t="s">
        <v>14</v>
      </c>
      <c r="C16" s="168"/>
      <c r="D16" s="168"/>
      <c r="E16" s="167">
        <v>70000</v>
      </c>
      <c r="F16" s="167"/>
      <c r="G16" s="162">
        <f>E16/4</f>
        <v>17500</v>
      </c>
      <c r="H16" s="163"/>
      <c r="I16" s="162">
        <f>E16/4</f>
        <v>17500</v>
      </c>
      <c r="J16" s="163"/>
      <c r="K16" s="162">
        <f>E16/4</f>
        <v>17500</v>
      </c>
      <c r="L16" s="163"/>
      <c r="M16" s="140">
        <f>E16/4</f>
        <v>17500</v>
      </c>
    </row>
    <row r="17" spans="1:13" ht="1.5" customHeight="1" hidden="1">
      <c r="A17" s="23"/>
      <c r="B17" s="166"/>
      <c r="C17" s="166"/>
      <c r="D17" s="166"/>
      <c r="E17" s="167"/>
      <c r="F17" s="167"/>
      <c r="G17" s="162"/>
      <c r="H17" s="163"/>
      <c r="I17" s="162"/>
      <c r="J17" s="163"/>
      <c r="K17" s="162"/>
      <c r="L17" s="163"/>
      <c r="M17" s="140"/>
    </row>
    <row r="18" spans="1:13" s="139" customFormat="1" ht="12.75">
      <c r="A18" s="137"/>
      <c r="B18" s="164" t="s">
        <v>15</v>
      </c>
      <c r="C18" s="164"/>
      <c r="D18" s="164"/>
      <c r="E18" s="165">
        <f>E10+E11+E12+E13+E14+E15+E16</f>
        <v>1763100</v>
      </c>
      <c r="F18" s="165"/>
      <c r="G18" s="165">
        <f>G10+G11+G12+G13+G14+G15+G16</f>
        <v>561525</v>
      </c>
      <c r="H18" s="165"/>
      <c r="I18" s="165">
        <f>I10+I11+I12+I13+I14+I15+I16</f>
        <v>440775</v>
      </c>
      <c r="J18" s="165"/>
      <c r="K18" s="165">
        <f>K10+K11+K12+K13+K14+K15+K16</f>
        <v>440775</v>
      </c>
      <c r="L18" s="165"/>
      <c r="M18" s="143">
        <f>M10+M11+M12+M13+M14+M15+M16</f>
        <v>320025</v>
      </c>
    </row>
    <row r="19" spans="2:15" ht="34.5" customHeight="1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47"/>
      <c r="N19" s="157"/>
      <c r="O19" s="157"/>
    </row>
    <row r="20" spans="2:11" ht="15.75">
      <c r="B20" s="158" t="s">
        <v>16</v>
      </c>
      <c r="C20" s="158"/>
      <c r="D20" s="158"/>
      <c r="E20" s="149"/>
      <c r="F20" s="159"/>
      <c r="G20" s="159"/>
      <c r="H20" s="149"/>
      <c r="I20" s="160" t="s">
        <v>18</v>
      </c>
      <c r="J20" s="160"/>
      <c r="K20" s="160"/>
    </row>
    <row r="21" spans="2:11" ht="15.75"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2:11" ht="15.75">
      <c r="B22" s="161" t="s">
        <v>17</v>
      </c>
      <c r="C22" s="161"/>
      <c r="D22" s="12"/>
      <c r="E22" s="149"/>
      <c r="F22" s="159"/>
      <c r="G22" s="159"/>
      <c r="H22" s="149"/>
      <c r="I22" s="160" t="s">
        <v>145</v>
      </c>
      <c r="J22" s="160"/>
      <c r="K22" s="160"/>
    </row>
    <row r="26" ht="12.75">
      <c r="T26" s="135" t="s">
        <v>78</v>
      </c>
    </row>
    <row r="35" ht="33" customHeight="1"/>
    <row r="37" ht="12.75">
      <c r="G37" s="148"/>
    </row>
  </sheetData>
  <sheetProtection/>
  <mergeCells count="93">
    <mergeCell ref="B8:D8"/>
    <mergeCell ref="E8:F8"/>
    <mergeCell ref="G8:H8"/>
    <mergeCell ref="I8:J8"/>
    <mergeCell ref="K8:L8"/>
    <mergeCell ref="A1:O1"/>
    <mergeCell ref="B3:D3"/>
    <mergeCell ref="E3:F3"/>
    <mergeCell ref="G3:H3"/>
    <mergeCell ref="I3:J3"/>
    <mergeCell ref="K3:L3"/>
    <mergeCell ref="B5:D5"/>
    <mergeCell ref="E5:F5"/>
    <mergeCell ref="G5:H5"/>
    <mergeCell ref="I5:J5"/>
    <mergeCell ref="K5:L5"/>
    <mergeCell ref="B4:D4"/>
    <mergeCell ref="E4:F4"/>
    <mergeCell ref="G4:H4"/>
    <mergeCell ref="I4:J4"/>
    <mergeCell ref="K4:L4"/>
    <mergeCell ref="B7:D7"/>
    <mergeCell ref="E7:F7"/>
    <mergeCell ref="G7:H7"/>
    <mergeCell ref="I7:J7"/>
    <mergeCell ref="K7:L7"/>
    <mergeCell ref="B6:D6"/>
    <mergeCell ref="E6:F6"/>
    <mergeCell ref="G6:H6"/>
    <mergeCell ref="I6:J6"/>
    <mergeCell ref="K6:L6"/>
    <mergeCell ref="B10:D10"/>
    <mergeCell ref="E10:F10"/>
    <mergeCell ref="G10:H10"/>
    <mergeCell ref="I10:J10"/>
    <mergeCell ref="K10:L10"/>
    <mergeCell ref="B9:D9"/>
    <mergeCell ref="E9:F9"/>
    <mergeCell ref="G9:H9"/>
    <mergeCell ref="I9:J9"/>
    <mergeCell ref="K9:L9"/>
    <mergeCell ref="B12:D12"/>
    <mergeCell ref="E12:F12"/>
    <mergeCell ref="G12:H12"/>
    <mergeCell ref="I12:J12"/>
    <mergeCell ref="K12:L12"/>
    <mergeCell ref="B11:D11"/>
    <mergeCell ref="E11:F11"/>
    <mergeCell ref="G11:H11"/>
    <mergeCell ref="I11:J11"/>
    <mergeCell ref="K11:L11"/>
    <mergeCell ref="B14:D14"/>
    <mergeCell ref="E14:F14"/>
    <mergeCell ref="G14:H14"/>
    <mergeCell ref="I14:J14"/>
    <mergeCell ref="K14:L14"/>
    <mergeCell ref="B13:D13"/>
    <mergeCell ref="E13:F13"/>
    <mergeCell ref="G13:H13"/>
    <mergeCell ref="I13:J13"/>
    <mergeCell ref="K13:L13"/>
    <mergeCell ref="B16:D16"/>
    <mergeCell ref="E16:F16"/>
    <mergeCell ref="G16:H16"/>
    <mergeCell ref="I16:J16"/>
    <mergeCell ref="K16:L16"/>
    <mergeCell ref="B15:D15"/>
    <mergeCell ref="E15:F15"/>
    <mergeCell ref="G15:H15"/>
    <mergeCell ref="I15:J15"/>
    <mergeCell ref="K15:L15"/>
    <mergeCell ref="B18:D18"/>
    <mergeCell ref="E18:F18"/>
    <mergeCell ref="G18:H18"/>
    <mergeCell ref="I18:J18"/>
    <mergeCell ref="K18:L18"/>
    <mergeCell ref="B17:D17"/>
    <mergeCell ref="E17:F17"/>
    <mergeCell ref="G17:H17"/>
    <mergeCell ref="I17:J17"/>
    <mergeCell ref="K17:L17"/>
    <mergeCell ref="B19:D19"/>
    <mergeCell ref="E19:F19"/>
    <mergeCell ref="G19:H19"/>
    <mergeCell ref="I19:J19"/>
    <mergeCell ref="K19:L19"/>
    <mergeCell ref="N19:O19"/>
    <mergeCell ref="B20:D20"/>
    <mergeCell ref="F20:G20"/>
    <mergeCell ref="I20:K20"/>
    <mergeCell ref="B22:C22"/>
    <mergeCell ref="F22:G22"/>
    <mergeCell ref="I22:K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E23" sqref="E23"/>
    </sheetView>
  </sheetViews>
  <sheetFormatPr defaultColWidth="9.140625" defaultRowHeight="15"/>
  <cols>
    <col min="1" max="1" width="5.421875" style="2" customWidth="1"/>
    <col min="2" max="2" width="3.57421875" style="2" customWidth="1"/>
    <col min="3" max="3" width="4.421875" style="2" customWidth="1"/>
    <col min="4" max="4" width="10.00390625" style="2" customWidth="1"/>
    <col min="5" max="5" width="4.57421875" style="2" customWidth="1"/>
    <col min="6" max="6" width="16.57421875" style="2" customWidth="1"/>
    <col min="7" max="7" width="4.7109375" style="2" customWidth="1"/>
    <col min="8" max="8" width="9.00390625" style="2" customWidth="1"/>
    <col min="9" max="9" width="7.7109375" style="2" customWidth="1"/>
    <col min="10" max="11" width="8.00390625" style="2" customWidth="1"/>
    <col min="12" max="12" width="7.7109375" style="2" customWidth="1"/>
    <col min="13" max="13" width="10.8515625" style="2" bestFit="1" customWidth="1"/>
    <col min="14" max="16384" width="9.140625" style="2" customWidth="1"/>
  </cols>
  <sheetData>
    <row r="1" spans="1:12" ht="15.75">
      <c r="A1" s="191" t="s">
        <v>162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3" customFormat="1" ht="46.5" customHeight="1">
      <c r="A2" s="35" t="s">
        <v>41</v>
      </c>
      <c r="B2" s="35" t="s">
        <v>42</v>
      </c>
      <c r="C2" s="35" t="s">
        <v>43</v>
      </c>
      <c r="D2" s="35" t="s">
        <v>44</v>
      </c>
      <c r="E2" s="35" t="s">
        <v>45</v>
      </c>
      <c r="F2" s="35" t="s">
        <v>46</v>
      </c>
      <c r="G2" s="35" t="s">
        <v>47</v>
      </c>
      <c r="H2" s="35" t="s">
        <v>25</v>
      </c>
      <c r="I2" s="35" t="s">
        <v>3</v>
      </c>
      <c r="J2" s="35" t="s">
        <v>4</v>
      </c>
      <c r="K2" s="35" t="s">
        <v>5</v>
      </c>
      <c r="L2" s="35" t="s">
        <v>6</v>
      </c>
    </row>
    <row r="3" spans="1:12" ht="15">
      <c r="A3" s="36"/>
      <c r="B3" s="37"/>
      <c r="C3" s="36"/>
      <c r="D3" s="36"/>
      <c r="E3" s="36"/>
      <c r="F3" s="36"/>
      <c r="G3" s="36"/>
      <c r="H3" s="38"/>
      <c r="I3" s="39"/>
      <c r="J3" s="39"/>
      <c r="K3" s="39"/>
      <c r="L3" s="39"/>
    </row>
    <row r="4" spans="1:12" ht="15" customHeight="1">
      <c r="A4" s="188" t="s">
        <v>153</v>
      </c>
      <c r="B4" s="41" t="s">
        <v>69</v>
      </c>
      <c r="C4" s="42" t="s">
        <v>68</v>
      </c>
      <c r="D4" s="43" t="s">
        <v>157</v>
      </c>
      <c r="E4" s="37">
        <v>121</v>
      </c>
      <c r="F4" s="44" t="s">
        <v>48</v>
      </c>
      <c r="G4" s="45">
        <v>211</v>
      </c>
      <c r="H4" s="46">
        <f>'Рассчеты к бюджету'!B13</f>
        <v>341712.79999999993</v>
      </c>
      <c r="I4" s="46">
        <f>H4/12*4</f>
        <v>113904.26666666665</v>
      </c>
      <c r="J4" s="46">
        <f>H4/12*3</f>
        <v>85428.19999999998</v>
      </c>
      <c r="K4" s="46">
        <f>H4/12*3</f>
        <v>85428.19999999998</v>
      </c>
      <c r="L4" s="46">
        <f>H4/12*2</f>
        <v>56952.133333333324</v>
      </c>
    </row>
    <row r="5" spans="1:12" ht="15">
      <c r="A5" s="189"/>
      <c r="B5" s="41" t="s">
        <v>69</v>
      </c>
      <c r="C5" s="42" t="s">
        <v>68</v>
      </c>
      <c r="D5" s="43" t="s">
        <v>157</v>
      </c>
      <c r="E5" s="37">
        <v>129</v>
      </c>
      <c r="F5" s="44" t="s">
        <v>49</v>
      </c>
      <c r="G5" s="45">
        <v>213</v>
      </c>
      <c r="H5" s="46">
        <f>'Рассчеты к бюджету'!B14</f>
        <v>103197.26559999997</v>
      </c>
      <c r="I5" s="46">
        <f>H5/12*4</f>
        <v>34399.08853333332</v>
      </c>
      <c r="J5" s="46">
        <f>H5/12*3</f>
        <v>25799.31639999999</v>
      </c>
      <c r="K5" s="46">
        <f>H5/12*3</f>
        <v>25799.31639999999</v>
      </c>
      <c r="L5" s="46">
        <f>H5/12*2</f>
        <v>17199.54426666666</v>
      </c>
    </row>
    <row r="6" spans="1:12" ht="15">
      <c r="A6" s="189"/>
      <c r="B6" s="41" t="s">
        <v>69</v>
      </c>
      <c r="C6" s="42" t="s">
        <v>68</v>
      </c>
      <c r="D6" s="43" t="s">
        <v>157</v>
      </c>
      <c r="E6" s="37">
        <v>122</v>
      </c>
      <c r="F6" s="44" t="s">
        <v>33</v>
      </c>
      <c r="G6" s="45">
        <v>212</v>
      </c>
      <c r="H6" s="46">
        <f>'Рассчеты к бюджету'!B15</f>
        <v>28800</v>
      </c>
      <c r="I6" s="46">
        <f>H6/4</f>
        <v>7200</v>
      </c>
      <c r="J6" s="46">
        <f>H6/4</f>
        <v>7200</v>
      </c>
      <c r="K6" s="46">
        <f>H6/4</f>
        <v>7200</v>
      </c>
      <c r="L6" s="46">
        <f>H6/4</f>
        <v>7200</v>
      </c>
    </row>
    <row r="7" spans="1:12" ht="15">
      <c r="A7" s="189"/>
      <c r="B7" s="41" t="s">
        <v>69</v>
      </c>
      <c r="C7" s="42" t="s">
        <v>68</v>
      </c>
      <c r="D7" s="43" t="s">
        <v>157</v>
      </c>
      <c r="E7" s="37">
        <v>242</v>
      </c>
      <c r="F7" s="44" t="s">
        <v>177</v>
      </c>
      <c r="G7" s="45">
        <v>226</v>
      </c>
      <c r="H7" s="46">
        <f>'Рассчеты к бюджету'!B17</f>
        <v>20000</v>
      </c>
      <c r="I7" s="46">
        <f>H7/4</f>
        <v>5000</v>
      </c>
      <c r="J7" s="46">
        <f>H7/4</f>
        <v>5000</v>
      </c>
      <c r="K7" s="46">
        <f>H7/4</f>
        <v>5000</v>
      </c>
      <c r="L7" s="46">
        <f>H7/4</f>
        <v>5000</v>
      </c>
    </row>
    <row r="8" spans="1:12" ht="15">
      <c r="A8" s="189"/>
      <c r="B8" s="41" t="s">
        <v>69</v>
      </c>
      <c r="C8" s="42" t="s">
        <v>68</v>
      </c>
      <c r="D8" s="43" t="s">
        <v>157</v>
      </c>
      <c r="E8" s="37">
        <v>244</v>
      </c>
      <c r="F8" s="44" t="s">
        <v>178</v>
      </c>
      <c r="G8" s="45">
        <v>226</v>
      </c>
      <c r="H8" s="46">
        <f>'Рассчеты к бюджету'!B16</f>
        <v>162489.6</v>
      </c>
      <c r="I8" s="46">
        <f>H8/4</f>
        <v>40622.4</v>
      </c>
      <c r="J8" s="46">
        <f>H8/4</f>
        <v>40622.4</v>
      </c>
      <c r="K8" s="46">
        <f>H8/4</f>
        <v>40622.4</v>
      </c>
      <c r="L8" s="46">
        <f>H8/4</f>
        <v>40622.4</v>
      </c>
    </row>
    <row r="9" spans="1:12" ht="15">
      <c r="A9" s="189"/>
      <c r="B9" s="41" t="s">
        <v>69</v>
      </c>
      <c r="C9" s="42" t="s">
        <v>68</v>
      </c>
      <c r="D9" s="43" t="s">
        <v>157</v>
      </c>
      <c r="E9" s="37">
        <v>851</v>
      </c>
      <c r="F9" s="44" t="s">
        <v>139</v>
      </c>
      <c r="G9" s="45">
        <v>290</v>
      </c>
      <c r="H9" s="46">
        <f>'Рассчеты к бюджету'!B18</f>
        <v>5000</v>
      </c>
      <c r="I9" s="46">
        <v>2500</v>
      </c>
      <c r="J9" s="46"/>
      <c r="K9" s="46">
        <v>2500</v>
      </c>
      <c r="L9" s="46"/>
    </row>
    <row r="10" spans="1:12" ht="15">
      <c r="A10" s="189"/>
      <c r="B10" s="41" t="s">
        <v>69</v>
      </c>
      <c r="C10" s="42" t="s">
        <v>68</v>
      </c>
      <c r="D10" s="43" t="s">
        <v>157</v>
      </c>
      <c r="E10" s="37">
        <v>244</v>
      </c>
      <c r="F10" s="44" t="s">
        <v>35</v>
      </c>
      <c r="G10" s="45">
        <v>290</v>
      </c>
      <c r="H10" s="46">
        <f>'Рассчеты к бюджету'!B19</f>
        <v>35000</v>
      </c>
      <c r="I10" s="46">
        <f>H10/4</f>
        <v>8750</v>
      </c>
      <c r="J10" s="46">
        <f>H10/4</f>
        <v>8750</v>
      </c>
      <c r="K10" s="46">
        <f>H10/4</f>
        <v>8750</v>
      </c>
      <c r="L10" s="46">
        <f>H10/4</f>
        <v>8750</v>
      </c>
    </row>
    <row r="11" spans="1:12" ht="34.5">
      <c r="A11" s="189"/>
      <c r="B11" s="41" t="s">
        <v>69</v>
      </c>
      <c r="C11" s="42" t="s">
        <v>68</v>
      </c>
      <c r="D11" s="43" t="s">
        <v>157</v>
      </c>
      <c r="E11" s="37">
        <v>244</v>
      </c>
      <c r="F11" s="47" t="s">
        <v>51</v>
      </c>
      <c r="G11" s="45">
        <v>340</v>
      </c>
      <c r="H11" s="46">
        <v>10000</v>
      </c>
      <c r="I11" s="46"/>
      <c r="J11" s="46">
        <v>5000</v>
      </c>
      <c r="K11" s="46"/>
      <c r="L11" s="46">
        <v>5000</v>
      </c>
    </row>
    <row r="12" spans="1:12" ht="23.25">
      <c r="A12" s="190"/>
      <c r="B12" s="41" t="s">
        <v>69</v>
      </c>
      <c r="C12" s="42" t="s">
        <v>68</v>
      </c>
      <c r="D12" s="43" t="s">
        <v>157</v>
      </c>
      <c r="E12" s="37">
        <v>244</v>
      </c>
      <c r="F12" s="47" t="s">
        <v>144</v>
      </c>
      <c r="G12" s="45">
        <v>310</v>
      </c>
      <c r="H12" s="46">
        <v>45000</v>
      </c>
      <c r="I12" s="46">
        <v>22500</v>
      </c>
      <c r="J12" s="46"/>
      <c r="K12" s="46">
        <v>22500</v>
      </c>
      <c r="L12" s="46"/>
    </row>
    <row r="13" spans="1:12" s="4" customFormat="1" ht="18" customHeight="1">
      <c r="A13" s="48" t="s">
        <v>30</v>
      </c>
      <c r="B13" s="48"/>
      <c r="C13" s="48"/>
      <c r="D13" s="48"/>
      <c r="E13" s="48"/>
      <c r="F13" s="40"/>
      <c r="G13" s="40"/>
      <c r="H13" s="49">
        <f>SUM(H4:H12)</f>
        <v>751199.6656</v>
      </c>
      <c r="I13" s="49">
        <f>SUM(I4:I12)</f>
        <v>234875.75519999996</v>
      </c>
      <c r="J13" s="49">
        <f>SUM(J4:J11)</f>
        <v>177799.91639999996</v>
      </c>
      <c r="K13" s="49">
        <f>SUM(K4:K12)</f>
        <v>197799.91639999996</v>
      </c>
      <c r="L13" s="49">
        <f>SUM(L4:L11)</f>
        <v>140724.0776</v>
      </c>
    </row>
    <row r="14" spans="1:12" ht="15">
      <c r="A14" s="188" t="s">
        <v>150</v>
      </c>
      <c r="B14" s="41" t="s">
        <v>69</v>
      </c>
      <c r="C14" s="42" t="s">
        <v>70</v>
      </c>
      <c r="D14" s="37">
        <v>2020200590</v>
      </c>
      <c r="E14" s="43" t="s">
        <v>136</v>
      </c>
      <c r="F14" s="44" t="s">
        <v>48</v>
      </c>
      <c r="G14" s="45">
        <v>211</v>
      </c>
      <c r="H14" s="46">
        <f>'Рассчеты к бюджету'!B63</f>
        <v>242424.46200000003</v>
      </c>
      <c r="I14" s="46">
        <f>H14/12*4</f>
        <v>80808.15400000001</v>
      </c>
      <c r="J14" s="46">
        <f>H14/12*3</f>
        <v>60606.11550000001</v>
      </c>
      <c r="K14" s="46">
        <f>H14/12*3</f>
        <v>60606.11550000001</v>
      </c>
      <c r="L14" s="46">
        <f>H14/12*2</f>
        <v>40404.077000000005</v>
      </c>
    </row>
    <row r="15" spans="1:12" ht="15">
      <c r="A15" s="189"/>
      <c r="B15" s="41" t="s">
        <v>69</v>
      </c>
      <c r="C15" s="42" t="s">
        <v>70</v>
      </c>
      <c r="D15" s="37">
        <v>2020200590</v>
      </c>
      <c r="E15" s="43" t="s">
        <v>176</v>
      </c>
      <c r="F15" s="44" t="s">
        <v>49</v>
      </c>
      <c r="G15" s="45">
        <v>213</v>
      </c>
      <c r="H15" s="46">
        <f>'Рассчеты к бюджету'!B64</f>
        <v>73212.18752400001</v>
      </c>
      <c r="I15" s="46">
        <f>H15/12*4</f>
        <v>24404.062508000003</v>
      </c>
      <c r="J15" s="46">
        <f>H15/12*3</f>
        <v>18303.046881000002</v>
      </c>
      <c r="K15" s="46">
        <f>H15/12*3</f>
        <v>18303.046881000002</v>
      </c>
      <c r="L15" s="46">
        <f>H15/12*2</f>
        <v>12202.031254000001</v>
      </c>
    </row>
    <row r="16" spans="1:12" ht="15">
      <c r="A16" s="189"/>
      <c r="B16" s="41" t="s">
        <v>69</v>
      </c>
      <c r="C16" s="42" t="s">
        <v>70</v>
      </c>
      <c r="D16" s="37">
        <v>2020200590</v>
      </c>
      <c r="E16" s="43" t="s">
        <v>188</v>
      </c>
      <c r="F16" s="44" t="s">
        <v>139</v>
      </c>
      <c r="G16" s="45">
        <v>290</v>
      </c>
      <c r="H16" s="46">
        <f>'Рассчеты к бюджету'!B67</f>
        <v>5370</v>
      </c>
      <c r="I16" s="46"/>
      <c r="J16" s="46">
        <v>5370</v>
      </c>
      <c r="K16" s="46"/>
      <c r="L16" s="46"/>
    </row>
    <row r="17" spans="1:12" ht="15">
      <c r="A17" s="189"/>
      <c r="B17" s="41" t="s">
        <v>69</v>
      </c>
      <c r="C17" s="42" t="s">
        <v>70</v>
      </c>
      <c r="D17" s="37">
        <v>2020200590</v>
      </c>
      <c r="E17" s="43" t="s">
        <v>137</v>
      </c>
      <c r="F17" s="44" t="s">
        <v>140</v>
      </c>
      <c r="G17" s="45">
        <v>226</v>
      </c>
      <c r="H17" s="46">
        <f>'Рассчеты к бюджету'!B66</f>
        <v>0</v>
      </c>
      <c r="I17" s="46">
        <f>H17/12*4</f>
        <v>0</v>
      </c>
      <c r="J17" s="46">
        <f>H17/12*3</f>
        <v>0</v>
      </c>
      <c r="K17" s="46">
        <f>H17/12*3</f>
        <v>0</v>
      </c>
      <c r="L17" s="46">
        <f>H17/12*2</f>
        <v>0</v>
      </c>
    </row>
    <row r="18" spans="1:12" ht="15">
      <c r="A18" s="190"/>
      <c r="B18" s="41" t="s">
        <v>69</v>
      </c>
      <c r="C18" s="42" t="s">
        <v>70</v>
      </c>
      <c r="D18" s="37">
        <v>2020200590</v>
      </c>
      <c r="E18" s="43" t="s">
        <v>137</v>
      </c>
      <c r="F18" s="44" t="s">
        <v>50</v>
      </c>
      <c r="G18" s="45">
        <v>340</v>
      </c>
      <c r="H18" s="46">
        <f>'Рассчеты к бюджету'!B69</f>
        <v>0</v>
      </c>
      <c r="I18" s="46"/>
      <c r="J18" s="46"/>
      <c r="K18" s="46"/>
      <c r="L18" s="46"/>
    </row>
    <row r="19" spans="1:12" s="4" customFormat="1" ht="18" customHeight="1">
      <c r="A19" s="48" t="s">
        <v>30</v>
      </c>
      <c r="B19" s="48"/>
      <c r="C19" s="48"/>
      <c r="D19" s="48"/>
      <c r="E19" s="48"/>
      <c r="F19" s="40"/>
      <c r="G19" s="40"/>
      <c r="H19" s="49">
        <f>SUM(H14:H18)</f>
        <v>321006.649524</v>
      </c>
      <c r="I19" s="49">
        <f>SUM(I14:I18)</f>
        <v>105212.21650800001</v>
      </c>
      <c r="J19" s="49">
        <f>SUM(J14:J18)</f>
        <v>84279.162381</v>
      </c>
      <c r="K19" s="49">
        <f>SUM(K14:K18)</f>
        <v>78909.162381</v>
      </c>
      <c r="L19" s="49">
        <f>SUM(L14:L18)</f>
        <v>52606.108254000006</v>
      </c>
    </row>
    <row r="20" spans="1:12" ht="15">
      <c r="A20" s="188" t="s">
        <v>152</v>
      </c>
      <c r="B20" s="41" t="s">
        <v>69</v>
      </c>
      <c r="C20" s="42" t="s">
        <v>71</v>
      </c>
      <c r="D20" s="37">
        <v>9660001000</v>
      </c>
      <c r="E20" s="37">
        <v>244</v>
      </c>
      <c r="F20" s="44" t="s">
        <v>141</v>
      </c>
      <c r="G20" s="45">
        <v>223</v>
      </c>
      <c r="H20" s="46">
        <f>'Рассчеты к бюджету'!B47</f>
        <v>49500</v>
      </c>
      <c r="I20" s="46">
        <f>H20/4</f>
        <v>12375</v>
      </c>
      <c r="J20" s="46">
        <f>H20/4</f>
        <v>12375</v>
      </c>
      <c r="K20" s="46">
        <f>H20/4</f>
        <v>12375</v>
      </c>
      <c r="L20" s="46">
        <f>H20/4</f>
        <v>12375</v>
      </c>
    </row>
    <row r="21" spans="1:12" ht="11.25" customHeight="1">
      <c r="A21" s="189"/>
      <c r="B21" s="41" t="s">
        <v>69</v>
      </c>
      <c r="C21" s="42" t="s">
        <v>71</v>
      </c>
      <c r="D21" s="37">
        <v>9660001000</v>
      </c>
      <c r="E21" s="37">
        <v>244</v>
      </c>
      <c r="F21" s="44"/>
      <c r="G21" s="45">
        <v>225</v>
      </c>
      <c r="H21" s="46"/>
      <c r="I21" s="46"/>
      <c r="J21" s="46">
        <f>H21/2</f>
        <v>0</v>
      </c>
      <c r="K21" s="46">
        <f>H21/2</f>
        <v>0</v>
      </c>
      <c r="L21" s="46"/>
    </row>
    <row r="22" spans="1:12" ht="15">
      <c r="A22" s="189"/>
      <c r="B22" s="41" t="s">
        <v>69</v>
      </c>
      <c r="C22" s="42" t="s">
        <v>71</v>
      </c>
      <c r="D22" s="37">
        <v>9660001000</v>
      </c>
      <c r="E22" s="37">
        <v>242</v>
      </c>
      <c r="F22" s="44" t="s">
        <v>186</v>
      </c>
      <c r="G22" s="45">
        <v>226</v>
      </c>
      <c r="H22" s="46">
        <f>'Рассчеты к бюджету'!B48</f>
        <v>25000</v>
      </c>
      <c r="I22" s="46">
        <f>H22/4</f>
        <v>6250</v>
      </c>
      <c r="J22" s="46">
        <f>H22/4</f>
        <v>6250</v>
      </c>
      <c r="K22" s="46">
        <f>H22/4</f>
        <v>6250</v>
      </c>
      <c r="L22" s="46">
        <f>H22/4</f>
        <v>6250</v>
      </c>
    </row>
    <row r="23" spans="1:12" ht="15">
      <c r="A23" s="189"/>
      <c r="B23" s="41" t="s">
        <v>69</v>
      </c>
      <c r="C23" s="42" t="s">
        <v>71</v>
      </c>
      <c r="D23" s="37">
        <v>9660001000</v>
      </c>
      <c r="E23" s="37">
        <v>122</v>
      </c>
      <c r="F23" s="44" t="s">
        <v>187</v>
      </c>
      <c r="G23" s="45">
        <v>226</v>
      </c>
      <c r="H23" s="46">
        <f>'Рассчеты к бюджету'!B49</f>
        <v>37060.128</v>
      </c>
      <c r="I23" s="46">
        <f>H23/4</f>
        <v>9265.032</v>
      </c>
      <c r="J23" s="46">
        <f>H23/4</f>
        <v>9265.032</v>
      </c>
      <c r="K23" s="46">
        <f>H23/4</f>
        <v>9265.032</v>
      </c>
      <c r="L23" s="46">
        <f>H23/4</f>
        <v>9265.032</v>
      </c>
    </row>
    <row r="24" spans="1:13" ht="15">
      <c r="A24" s="190"/>
      <c r="B24" s="41" t="s">
        <v>69</v>
      </c>
      <c r="C24" s="42" t="s">
        <v>71</v>
      </c>
      <c r="D24" s="37">
        <v>9660005000</v>
      </c>
      <c r="E24" s="37">
        <v>244</v>
      </c>
      <c r="F24" s="44" t="s">
        <v>183</v>
      </c>
      <c r="G24" s="45">
        <v>340</v>
      </c>
      <c r="H24" s="46">
        <f>'Рассчеты к бюджету'!B50</f>
        <v>259344</v>
      </c>
      <c r="I24" s="46">
        <f>H24/4</f>
        <v>64836</v>
      </c>
      <c r="J24" s="46">
        <f>H24/4</f>
        <v>64836</v>
      </c>
      <c r="K24" s="46">
        <f>H24/4</f>
        <v>64836</v>
      </c>
      <c r="L24" s="46">
        <f>H24/4</f>
        <v>64836</v>
      </c>
      <c r="M24" s="5"/>
    </row>
    <row r="25" spans="1:13" s="4" customFormat="1" ht="20.25" customHeight="1">
      <c r="A25" s="48" t="s">
        <v>30</v>
      </c>
      <c r="B25" s="48"/>
      <c r="C25" s="48"/>
      <c r="D25" s="48"/>
      <c r="E25" s="48"/>
      <c r="F25" s="40"/>
      <c r="G25" s="40"/>
      <c r="H25" s="49">
        <f>SUM(H20:H24)</f>
        <v>370904.128</v>
      </c>
      <c r="I25" s="49">
        <f>SUM(I20:I24)</f>
        <v>92726.032</v>
      </c>
      <c r="J25" s="49">
        <f>SUM(J20:J24)</f>
        <v>92726.032</v>
      </c>
      <c r="K25" s="49">
        <f>SUM(K20:K24)</f>
        <v>92726.032</v>
      </c>
      <c r="L25" s="49">
        <f>SUM(L20:L24)</f>
        <v>92726.032</v>
      </c>
      <c r="M25" s="16"/>
    </row>
    <row r="26" spans="1:12" ht="23.25">
      <c r="A26" s="62" t="s">
        <v>149</v>
      </c>
      <c r="B26" s="41" t="s">
        <v>69</v>
      </c>
      <c r="C26" s="37">
        <v>1102</v>
      </c>
      <c r="D26" s="37">
        <v>2410187010</v>
      </c>
      <c r="E26" s="43" t="s">
        <v>137</v>
      </c>
      <c r="F26" s="44" t="s">
        <v>35</v>
      </c>
      <c r="G26" s="45">
        <v>290</v>
      </c>
      <c r="H26" s="46">
        <v>10000</v>
      </c>
      <c r="I26" s="46"/>
      <c r="J26" s="46">
        <v>5000</v>
      </c>
      <c r="K26" s="46">
        <v>5000</v>
      </c>
      <c r="L26" s="46"/>
    </row>
    <row r="27" spans="1:12" s="4" customFormat="1" ht="18.75" customHeight="1">
      <c r="A27" s="48" t="s">
        <v>30</v>
      </c>
      <c r="B27" s="48"/>
      <c r="C27" s="48"/>
      <c r="D27" s="48"/>
      <c r="E27" s="48"/>
      <c r="F27" s="40"/>
      <c r="G27" s="40"/>
      <c r="H27" s="49">
        <f>SUM(H26)</f>
        <v>10000</v>
      </c>
      <c r="I27" s="49">
        <f>SUM(I26)</f>
        <v>0</v>
      </c>
      <c r="J27" s="49">
        <f>SUM(J26)</f>
        <v>5000</v>
      </c>
      <c r="K27" s="49">
        <f>SUM(K26)</f>
        <v>5000</v>
      </c>
      <c r="L27" s="49">
        <f>SUM(L26)</f>
        <v>0</v>
      </c>
    </row>
    <row r="28" spans="1:12" ht="15.75" customHeight="1">
      <c r="A28" s="195" t="s">
        <v>12</v>
      </c>
      <c r="B28" s="41" t="s">
        <v>69</v>
      </c>
      <c r="C28" s="42" t="s">
        <v>80</v>
      </c>
      <c r="D28" s="37">
        <v>9980021000</v>
      </c>
      <c r="E28" s="43" t="s">
        <v>136</v>
      </c>
      <c r="F28" s="44" t="s">
        <v>48</v>
      </c>
      <c r="G28" s="45">
        <v>211</v>
      </c>
      <c r="H28" s="50">
        <f>'Рассчеты к бюджету'!B88</f>
        <v>169193.3776</v>
      </c>
      <c r="I28" s="46">
        <f>H28/12*4</f>
        <v>56397.79253333333</v>
      </c>
      <c r="J28" s="46">
        <f>H28/12*3</f>
        <v>42298.3444</v>
      </c>
      <c r="K28" s="46">
        <f>H28/12*3</f>
        <v>42298.3444</v>
      </c>
      <c r="L28" s="46">
        <f>H28/12*2</f>
        <v>28198.896266666667</v>
      </c>
    </row>
    <row r="29" spans="1:12" ht="15">
      <c r="A29" s="196"/>
      <c r="B29" s="41" t="s">
        <v>69</v>
      </c>
      <c r="C29" s="42" t="s">
        <v>80</v>
      </c>
      <c r="D29" s="37">
        <v>9980021000</v>
      </c>
      <c r="E29" s="43" t="s">
        <v>176</v>
      </c>
      <c r="F29" s="44" t="s">
        <v>49</v>
      </c>
      <c r="G29" s="45">
        <v>213</v>
      </c>
      <c r="H29" s="50">
        <f>'Рассчеты к бюджету'!B89</f>
        <v>51096.4000352</v>
      </c>
      <c r="I29" s="46">
        <f>H29/12*4</f>
        <v>17032.133345066668</v>
      </c>
      <c r="J29" s="46">
        <f>H29/12*3</f>
        <v>12774.1000088</v>
      </c>
      <c r="K29" s="46">
        <f>H29/12*3</f>
        <v>12774.1000088</v>
      </c>
      <c r="L29" s="46">
        <f>H29/12*2</f>
        <v>8516.066672533334</v>
      </c>
    </row>
    <row r="30" spans="1:12" ht="15">
      <c r="A30" s="196"/>
      <c r="B30" s="41" t="s">
        <v>69</v>
      </c>
      <c r="C30" s="42" t="s">
        <v>80</v>
      </c>
      <c r="D30" s="37">
        <v>9980021000</v>
      </c>
      <c r="E30" s="43" t="s">
        <v>138</v>
      </c>
      <c r="F30" s="44" t="s">
        <v>33</v>
      </c>
      <c r="G30" s="45">
        <v>212</v>
      </c>
      <c r="H30" s="50">
        <f>'Рассчеты к бюджету'!B90</f>
        <v>6000</v>
      </c>
      <c r="I30" s="46"/>
      <c r="J30" s="46">
        <v>3000</v>
      </c>
      <c r="K30" s="46"/>
      <c r="L30" s="46">
        <v>3000</v>
      </c>
    </row>
    <row r="31" spans="1:12" ht="15">
      <c r="A31" s="196"/>
      <c r="B31" s="41" t="s">
        <v>69</v>
      </c>
      <c r="C31" s="42" t="s">
        <v>80</v>
      </c>
      <c r="D31" s="37">
        <v>9980021000</v>
      </c>
      <c r="E31" s="43" t="s">
        <v>137</v>
      </c>
      <c r="F31" s="44"/>
      <c r="G31" s="45">
        <v>222</v>
      </c>
      <c r="H31" s="50">
        <f>'Рассчеты к бюджету'!B91</f>
        <v>1500</v>
      </c>
      <c r="I31" s="46"/>
      <c r="J31" s="46">
        <v>750</v>
      </c>
      <c r="K31" s="46"/>
      <c r="L31" s="46">
        <v>750</v>
      </c>
    </row>
    <row r="32" spans="1:12" ht="15">
      <c r="A32" s="197"/>
      <c r="B32" s="41" t="s">
        <v>69</v>
      </c>
      <c r="C32" s="42" t="s">
        <v>80</v>
      </c>
      <c r="D32" s="37">
        <v>9980021000</v>
      </c>
      <c r="E32" s="43" t="s">
        <v>180</v>
      </c>
      <c r="F32" s="36" t="s">
        <v>181</v>
      </c>
      <c r="G32" s="37">
        <v>226</v>
      </c>
      <c r="H32" s="51">
        <f>'Рассчеты к бюджету'!B92</f>
        <v>12200</v>
      </c>
      <c r="I32" s="46">
        <f>H32/12*4</f>
        <v>4066.6666666666665</v>
      </c>
      <c r="J32" s="46">
        <f>H32/12*3</f>
        <v>3050</v>
      </c>
      <c r="K32" s="46">
        <f>H32/12*3</f>
        <v>3050</v>
      </c>
      <c r="L32" s="46">
        <f>H32/12*2</f>
        <v>2033.3333333333333</v>
      </c>
    </row>
    <row r="33" spans="1:12" s="4" customFormat="1" ht="18" customHeight="1">
      <c r="A33" s="48" t="s">
        <v>30</v>
      </c>
      <c r="B33" s="48"/>
      <c r="C33" s="48"/>
      <c r="D33" s="48"/>
      <c r="E33" s="48"/>
      <c r="F33" s="40"/>
      <c r="G33" s="40"/>
      <c r="H33" s="49">
        <f>SUM(H28:H32)</f>
        <v>239989.7776352</v>
      </c>
      <c r="I33" s="49">
        <f>SUM(I28:I32)</f>
        <v>77496.59254506667</v>
      </c>
      <c r="J33" s="49">
        <f>SUM(J28:J32)</f>
        <v>61872.4444088</v>
      </c>
      <c r="K33" s="49">
        <f>SUM(K28:K32)</f>
        <v>58122.4444088</v>
      </c>
      <c r="L33" s="49">
        <f>SUM(L28:L32)</f>
        <v>42498.296272533335</v>
      </c>
    </row>
    <row r="34" spans="1:12" ht="15">
      <c r="A34" s="40" t="s">
        <v>151</v>
      </c>
      <c r="B34" s="41" t="s">
        <v>69</v>
      </c>
      <c r="C34" s="42" t="s">
        <v>80</v>
      </c>
      <c r="D34" s="41" t="s">
        <v>82</v>
      </c>
      <c r="E34" s="43" t="s">
        <v>81</v>
      </c>
      <c r="F34" s="44" t="s">
        <v>35</v>
      </c>
      <c r="G34" s="45">
        <v>290</v>
      </c>
      <c r="H34" s="52"/>
      <c r="I34" s="52"/>
      <c r="J34" s="52"/>
      <c r="K34" s="52"/>
      <c r="L34" s="52"/>
    </row>
    <row r="35" spans="1:12" s="4" customFormat="1" ht="15.75" customHeight="1">
      <c r="A35" s="48" t="s">
        <v>30</v>
      </c>
      <c r="B35" s="48"/>
      <c r="C35" s="48"/>
      <c r="D35" s="48"/>
      <c r="E35" s="48"/>
      <c r="F35" s="40"/>
      <c r="G35" s="40"/>
      <c r="H35" s="49">
        <f>SUM(H34)</f>
        <v>0</v>
      </c>
      <c r="I35" s="49">
        <f>SUM(I34)</f>
        <v>0</v>
      </c>
      <c r="J35" s="49">
        <f>SUM(J34)</f>
        <v>0</v>
      </c>
      <c r="K35" s="49">
        <f>SUM(K34)</f>
        <v>0</v>
      </c>
      <c r="L35" s="49">
        <f>SUM(L34)</f>
        <v>0</v>
      </c>
    </row>
    <row r="36" spans="1:12" s="4" customFormat="1" ht="12.75">
      <c r="A36" s="195" t="s">
        <v>14</v>
      </c>
      <c r="B36" s="41" t="s">
        <v>69</v>
      </c>
      <c r="C36" s="41" t="s">
        <v>72</v>
      </c>
      <c r="D36" s="41" t="s">
        <v>158</v>
      </c>
      <c r="E36" s="53">
        <v>121</v>
      </c>
      <c r="F36" s="44" t="s">
        <v>48</v>
      </c>
      <c r="G36" s="53">
        <v>211</v>
      </c>
      <c r="H36" s="54">
        <f>'Рассчеты к бюджету'!B26</f>
        <v>53763.44086021505</v>
      </c>
      <c r="I36" s="46">
        <f>H36/4</f>
        <v>13440.860215053763</v>
      </c>
      <c r="J36" s="46">
        <f>H36/4</f>
        <v>13440.860215053763</v>
      </c>
      <c r="K36" s="46">
        <f>H36/4</f>
        <v>13440.860215053763</v>
      </c>
      <c r="L36" s="46">
        <f>H36/4</f>
        <v>13440.860215053763</v>
      </c>
    </row>
    <row r="37" spans="1:12" s="4" customFormat="1" ht="12.75">
      <c r="A37" s="196"/>
      <c r="B37" s="41" t="s">
        <v>69</v>
      </c>
      <c r="C37" s="41" t="s">
        <v>72</v>
      </c>
      <c r="D37" s="41" t="s">
        <v>158</v>
      </c>
      <c r="E37" s="53">
        <v>129</v>
      </c>
      <c r="F37" s="44" t="s">
        <v>49</v>
      </c>
      <c r="G37" s="45">
        <v>213</v>
      </c>
      <c r="H37" s="54">
        <f>'Рассчеты к бюджету'!B27</f>
        <v>16236.559139784944</v>
      </c>
      <c r="I37" s="46">
        <f>H37/4</f>
        <v>4059.139784946236</v>
      </c>
      <c r="J37" s="46">
        <f>H37/4</f>
        <v>4059.139784946236</v>
      </c>
      <c r="K37" s="46">
        <f>H37/4</f>
        <v>4059.139784946236</v>
      </c>
      <c r="L37" s="46">
        <f>H37/4</f>
        <v>4059.139784946236</v>
      </c>
    </row>
    <row r="38" spans="1:12" s="4" customFormat="1" ht="33.75">
      <c r="A38" s="197"/>
      <c r="B38" s="41" t="s">
        <v>69</v>
      </c>
      <c r="C38" s="41" t="s">
        <v>72</v>
      </c>
      <c r="D38" s="41" t="s">
        <v>158</v>
      </c>
      <c r="E38" s="53">
        <v>244</v>
      </c>
      <c r="F38" s="47" t="s">
        <v>51</v>
      </c>
      <c r="G38" s="45">
        <v>340</v>
      </c>
      <c r="H38" s="54">
        <f>'Рассчеты к бюджету'!B28</f>
        <v>0</v>
      </c>
      <c r="I38" s="46"/>
      <c r="J38" s="46"/>
      <c r="K38" s="46"/>
      <c r="L38" s="46"/>
    </row>
    <row r="39" spans="1:12" s="4" customFormat="1" ht="16.5" customHeight="1">
      <c r="A39" s="48" t="s">
        <v>30</v>
      </c>
      <c r="B39" s="48"/>
      <c r="C39" s="48"/>
      <c r="D39" s="48"/>
      <c r="E39" s="48"/>
      <c r="F39" s="40"/>
      <c r="G39" s="40"/>
      <c r="H39" s="49">
        <f>SUM(H36:H38)</f>
        <v>70000</v>
      </c>
      <c r="I39" s="49">
        <f>SUM(I36:I38)</f>
        <v>17500</v>
      </c>
      <c r="J39" s="49">
        <f>SUM(J36:J38)</f>
        <v>17500</v>
      </c>
      <c r="K39" s="49">
        <f>SUM(K36:K38)</f>
        <v>17500</v>
      </c>
      <c r="L39" s="49">
        <f>SUM(L36:L38)</f>
        <v>17500</v>
      </c>
    </row>
    <row r="40" spans="1:12" ht="0.75" customHeight="1">
      <c r="A40" s="55"/>
      <c r="B40" s="37"/>
      <c r="C40" s="36"/>
      <c r="D40" s="36"/>
      <c r="E40" s="36"/>
      <c r="F40" s="36"/>
      <c r="G40" s="36"/>
      <c r="H40" s="46"/>
      <c r="I40" s="46"/>
      <c r="J40" s="46"/>
      <c r="K40" s="46"/>
      <c r="L40" s="46"/>
    </row>
    <row r="41" spans="1:13" s="4" customFormat="1" ht="15.75" customHeight="1">
      <c r="A41" s="48" t="s">
        <v>52</v>
      </c>
      <c r="B41" s="48"/>
      <c r="C41" s="40"/>
      <c r="D41" s="40"/>
      <c r="E41" s="40"/>
      <c r="F41" s="40"/>
      <c r="G41" s="40"/>
      <c r="H41" s="49">
        <f>H13+H19+H25+H27+H33+H39</f>
        <v>1763100.2207592</v>
      </c>
      <c r="I41" s="49">
        <f>I13+I19+I25+I27+I33+I39</f>
        <v>527810.5962530666</v>
      </c>
      <c r="J41" s="49">
        <f>J13+J19+J25+J27+J33+J39</f>
        <v>439177.5551898</v>
      </c>
      <c r="K41" s="49">
        <f>K13+K19+K25+K27+K33+K39</f>
        <v>450057.5551898</v>
      </c>
      <c r="L41" s="49">
        <f>L13+L19+L25+L27+L33+L39</f>
        <v>346054.5141265333</v>
      </c>
      <c r="M41" s="16"/>
    </row>
    <row r="42" spans="1:12" ht="15">
      <c r="A42" s="56"/>
      <c r="B42" s="57"/>
      <c r="C42" s="56"/>
      <c r="D42" s="56"/>
      <c r="E42" s="56"/>
      <c r="F42" s="56"/>
      <c r="G42" s="56"/>
      <c r="H42" s="58"/>
      <c r="I42" s="56"/>
      <c r="J42" s="56"/>
      <c r="K42" s="56"/>
      <c r="L42" s="56"/>
    </row>
    <row r="43" spans="1:12" ht="15">
      <c r="A43" s="56"/>
      <c r="B43" s="192" t="s">
        <v>159</v>
      </c>
      <c r="C43" s="192"/>
      <c r="D43" s="192"/>
      <c r="E43" s="60"/>
      <c r="F43" s="193"/>
      <c r="G43" s="193"/>
      <c r="H43" s="60"/>
      <c r="I43" s="194" t="s">
        <v>18</v>
      </c>
      <c r="J43" s="194"/>
      <c r="K43" s="56"/>
      <c r="L43" s="56"/>
    </row>
    <row r="44" spans="1:12" ht="15">
      <c r="A44" s="56"/>
      <c r="B44" s="56"/>
      <c r="C44" s="56"/>
      <c r="D44" s="56"/>
      <c r="E44" s="56"/>
      <c r="F44" s="56"/>
      <c r="G44" s="56"/>
      <c r="H44" s="59"/>
      <c r="I44" s="56"/>
      <c r="J44" s="56"/>
      <c r="K44" s="56"/>
      <c r="L44" s="56"/>
    </row>
    <row r="45" spans="1:12" ht="15">
      <c r="A45" s="56"/>
      <c r="B45" s="61" t="s">
        <v>17</v>
      </c>
      <c r="C45" s="61"/>
      <c r="D45" s="34"/>
      <c r="E45" s="60"/>
      <c r="F45" s="193"/>
      <c r="G45" s="193"/>
      <c r="H45" s="60"/>
      <c r="I45" s="194" t="s">
        <v>145</v>
      </c>
      <c r="J45" s="194"/>
      <c r="K45" s="56"/>
      <c r="L45" s="56"/>
    </row>
    <row r="46" spans="1:12" ht="15">
      <c r="A46" s="56"/>
      <c r="B46" s="60"/>
      <c r="C46" s="60"/>
      <c r="D46" s="60"/>
      <c r="E46" s="60"/>
      <c r="F46" s="60"/>
      <c r="G46" s="60"/>
      <c r="H46" s="60"/>
      <c r="I46" s="60"/>
      <c r="J46" s="60"/>
      <c r="K46" s="56"/>
      <c r="L46" s="56"/>
    </row>
    <row r="47" spans="1:12" ht="15">
      <c r="A47" s="56"/>
      <c r="B47" s="60"/>
      <c r="C47" s="60"/>
      <c r="D47" s="60"/>
      <c r="E47" s="60"/>
      <c r="F47" s="60"/>
      <c r="G47" s="60"/>
      <c r="H47" s="60"/>
      <c r="I47" s="60"/>
      <c r="J47" s="60"/>
      <c r="K47" s="56"/>
      <c r="L47" s="56"/>
    </row>
    <row r="48" spans="1:12" ht="15">
      <c r="A48" s="56"/>
      <c r="K48" s="56"/>
      <c r="L48" s="56"/>
    </row>
    <row r="49" spans="1:12" ht="15">
      <c r="A49" s="56"/>
      <c r="B49" s="60"/>
      <c r="C49" s="60"/>
      <c r="D49" s="60"/>
      <c r="E49" s="60"/>
      <c r="F49" s="60"/>
      <c r="G49" s="60"/>
      <c r="H49" s="60"/>
      <c r="I49" s="60"/>
      <c r="J49" s="60"/>
      <c r="K49" s="56"/>
      <c r="L49" s="56"/>
    </row>
  </sheetData>
  <sheetProtection/>
  <mergeCells count="11">
    <mergeCell ref="A36:A38"/>
    <mergeCell ref="A4:A12"/>
    <mergeCell ref="A1:L1"/>
    <mergeCell ref="B43:D43"/>
    <mergeCell ref="F43:G43"/>
    <mergeCell ref="I43:J43"/>
    <mergeCell ref="F45:G45"/>
    <mergeCell ref="I45:J45"/>
    <mergeCell ref="A14:A18"/>
    <mergeCell ref="A20:A24"/>
    <mergeCell ref="A28:A3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workbookViewId="0" topLeftCell="A1">
      <selection activeCell="S52" sqref="S52"/>
    </sheetView>
  </sheetViews>
  <sheetFormatPr defaultColWidth="9.140625" defaultRowHeight="15"/>
  <cols>
    <col min="1" max="1" width="7.00390625" style="0" customWidth="1"/>
    <col min="2" max="2" width="7.7109375" style="0" customWidth="1"/>
    <col min="3" max="3" width="5.421875" style="0" customWidth="1"/>
    <col min="4" max="4" width="7.421875" style="0" customWidth="1"/>
    <col min="5" max="5" width="4.140625" style="0" customWidth="1"/>
    <col min="6" max="6" width="5.421875" style="0" customWidth="1"/>
    <col min="7" max="7" width="6.140625" style="0" customWidth="1"/>
    <col min="8" max="8" width="7.00390625" style="0" customWidth="1"/>
    <col min="9" max="9" width="4.57421875" style="0" customWidth="1"/>
    <col min="10" max="10" width="6.28125" style="0" customWidth="1"/>
    <col min="11" max="11" width="6.7109375" style="0" customWidth="1"/>
    <col min="12" max="12" width="6.8515625" style="0" customWidth="1"/>
    <col min="13" max="13" width="7.421875" style="0" customWidth="1"/>
    <col min="14" max="14" width="7.00390625" style="0" customWidth="1"/>
    <col min="15" max="15" width="6.140625" style="0" customWidth="1"/>
    <col min="16" max="16" width="6.8515625" style="0" customWidth="1"/>
    <col min="17" max="17" width="9.7109375" style="0" bestFit="1" customWidth="1"/>
  </cols>
  <sheetData>
    <row r="1" spans="1:16" ht="20.25" customHeight="1" thickBot="1">
      <c r="A1" s="218" t="s">
        <v>156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18.75" customHeight="1" thickBot="1">
      <c r="A2" s="63"/>
      <c r="B2" s="64"/>
      <c r="C2" s="64"/>
      <c r="D2" s="64"/>
      <c r="E2" s="64"/>
      <c r="F2" s="64"/>
      <c r="G2" s="220" t="s">
        <v>19</v>
      </c>
      <c r="H2" s="221"/>
      <c r="I2" s="221"/>
      <c r="J2" s="222"/>
      <c r="K2" s="64"/>
      <c r="L2" s="64"/>
      <c r="M2" s="64"/>
      <c r="N2" s="64"/>
      <c r="O2" s="64"/>
      <c r="P2" s="64"/>
    </row>
    <row r="3" spans="1:16" ht="27.75" customHeight="1">
      <c r="A3" s="65" t="s">
        <v>113</v>
      </c>
      <c r="B3" s="201" t="s">
        <v>94</v>
      </c>
      <c r="C3" s="201" t="s">
        <v>121</v>
      </c>
      <c r="D3" s="201" t="s">
        <v>95</v>
      </c>
      <c r="E3" s="213" t="s">
        <v>114</v>
      </c>
      <c r="F3" s="213"/>
      <c r="G3" s="214" t="s">
        <v>97</v>
      </c>
      <c r="H3" s="214"/>
      <c r="I3" s="214"/>
      <c r="J3" s="214"/>
      <c r="K3" s="213" t="s">
        <v>98</v>
      </c>
      <c r="L3" s="213"/>
      <c r="M3" s="208" t="s">
        <v>119</v>
      </c>
      <c r="N3" s="208" t="s">
        <v>120</v>
      </c>
      <c r="O3" s="201" t="s">
        <v>27</v>
      </c>
      <c r="P3" s="203" t="s">
        <v>100</v>
      </c>
    </row>
    <row r="4" spans="1:16" ht="15" customHeight="1">
      <c r="A4" s="210" t="s">
        <v>101</v>
      </c>
      <c r="B4" s="202"/>
      <c r="C4" s="202"/>
      <c r="D4" s="202"/>
      <c r="E4" s="207"/>
      <c r="F4" s="207"/>
      <c r="G4" s="198" t="s">
        <v>102</v>
      </c>
      <c r="H4" s="198"/>
      <c r="I4" s="198"/>
      <c r="J4" s="198"/>
      <c r="K4" s="207"/>
      <c r="L4" s="207"/>
      <c r="M4" s="209"/>
      <c r="N4" s="209"/>
      <c r="O4" s="202"/>
      <c r="P4" s="204"/>
    </row>
    <row r="5" spans="1:16" ht="36.75" customHeight="1">
      <c r="A5" s="210"/>
      <c r="B5" s="202"/>
      <c r="C5" s="202"/>
      <c r="D5" s="202"/>
      <c r="E5" s="205" t="s">
        <v>103</v>
      </c>
      <c r="F5" s="206" t="s">
        <v>104</v>
      </c>
      <c r="G5" s="207" t="s">
        <v>115</v>
      </c>
      <c r="H5" s="207"/>
      <c r="I5" s="207" t="s">
        <v>116</v>
      </c>
      <c r="J5" s="207"/>
      <c r="K5" s="207"/>
      <c r="L5" s="207"/>
      <c r="M5" s="209"/>
      <c r="N5" s="209"/>
      <c r="O5" s="202"/>
      <c r="P5" s="204"/>
    </row>
    <row r="6" spans="1:16" ht="15" customHeight="1">
      <c r="A6" s="210"/>
      <c r="B6" s="202"/>
      <c r="C6" s="202"/>
      <c r="D6" s="202"/>
      <c r="E6" s="205"/>
      <c r="F6" s="206"/>
      <c r="G6" s="67" t="s">
        <v>103</v>
      </c>
      <c r="H6" s="68" t="s">
        <v>104</v>
      </c>
      <c r="I6" s="68" t="s">
        <v>103</v>
      </c>
      <c r="J6" s="68" t="s">
        <v>104</v>
      </c>
      <c r="K6" s="68" t="s">
        <v>106</v>
      </c>
      <c r="L6" s="68" t="s">
        <v>104</v>
      </c>
      <c r="M6" s="209"/>
      <c r="N6" s="209"/>
      <c r="O6" s="202"/>
      <c r="P6" s="204"/>
    </row>
    <row r="7" spans="1:16" ht="15" customHeight="1">
      <c r="A7" s="69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  <c r="P7" s="71">
        <v>16</v>
      </c>
    </row>
    <row r="8" spans="1:16" ht="12" customHeight="1">
      <c r="A8" s="72" t="s">
        <v>117</v>
      </c>
      <c r="B8" s="73"/>
      <c r="C8" s="73"/>
      <c r="D8" s="74">
        <f>(10300)+(10300*4%)</f>
        <v>10712</v>
      </c>
      <c r="E8" s="75"/>
      <c r="F8" s="76"/>
      <c r="G8" s="73">
        <v>100</v>
      </c>
      <c r="H8" s="74">
        <f>(D8*100%)+D8</f>
        <v>21424</v>
      </c>
      <c r="I8" s="77"/>
      <c r="J8" s="78"/>
      <c r="K8" s="73" t="s">
        <v>107</v>
      </c>
      <c r="L8" s="74">
        <f>H8*15%</f>
        <v>3213.6</v>
      </c>
      <c r="M8" s="74">
        <f>D8*2</f>
        <v>21424</v>
      </c>
      <c r="N8" s="74">
        <f>(D8*2)+((D8*2)*15%)</f>
        <v>24637.6</v>
      </c>
      <c r="O8" s="79"/>
      <c r="P8" s="80">
        <f>H8+L8</f>
        <v>24637.6</v>
      </c>
    </row>
    <row r="9" spans="1:18" ht="12" customHeight="1">
      <c r="A9" s="72" t="s">
        <v>147</v>
      </c>
      <c r="B9" s="73"/>
      <c r="C9" s="73"/>
      <c r="D9" s="74">
        <f>(10000)+(10000*4%)</f>
        <v>10400</v>
      </c>
      <c r="E9" s="75"/>
      <c r="F9" s="78"/>
      <c r="G9" s="79"/>
      <c r="H9" s="81"/>
      <c r="I9" s="77"/>
      <c r="J9" s="78"/>
      <c r="K9" s="73"/>
      <c r="L9" s="74"/>
      <c r="M9" s="74"/>
      <c r="N9" s="74"/>
      <c r="O9" s="73"/>
      <c r="P9" s="80">
        <f>D9</f>
        <v>10400</v>
      </c>
      <c r="Q9" s="24"/>
      <c r="R9" s="24"/>
    </row>
    <row r="10" spans="1:16" ht="12" customHeight="1">
      <c r="A10" s="82" t="s">
        <v>109</v>
      </c>
      <c r="B10" s="83">
        <f>SUM(B8:B9)</f>
        <v>0</v>
      </c>
      <c r="C10" s="83"/>
      <c r="D10" s="84">
        <f>SUM(D8:D9)</f>
        <v>21112</v>
      </c>
      <c r="E10" s="83">
        <f>SUM(F8:F9)</f>
        <v>0</v>
      </c>
      <c r="F10" s="84"/>
      <c r="G10" s="83"/>
      <c r="H10" s="84">
        <f>SUM(H8:H9)</f>
        <v>21424</v>
      </c>
      <c r="I10" s="83">
        <f>SUM(I8:I9)</f>
        <v>0</v>
      </c>
      <c r="J10" s="84">
        <f>SUM(J8:J9)</f>
        <v>0</v>
      </c>
      <c r="K10" s="83">
        <f>SUM(K8:K9)</f>
        <v>0</v>
      </c>
      <c r="L10" s="84">
        <f>SUM(L8:L9)</f>
        <v>3213.6</v>
      </c>
      <c r="M10" s="84"/>
      <c r="N10" s="84"/>
      <c r="O10" s="85">
        <f>SUM(O8:O9)</f>
        <v>0</v>
      </c>
      <c r="P10" s="86">
        <f>SUM(P8:P9)</f>
        <v>35037.6</v>
      </c>
    </row>
    <row r="11" spans="1:16" ht="12" customHeight="1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6"/>
    </row>
    <row r="12" spans="1:16" ht="12" customHeight="1">
      <c r="A12" s="69" t="s">
        <v>31</v>
      </c>
      <c r="B12" s="70" t="s">
        <v>25</v>
      </c>
      <c r="C12" s="166" t="s">
        <v>32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273"/>
    </row>
    <row r="13" spans="1:16" ht="12" customHeight="1">
      <c r="A13" s="87" t="s">
        <v>28</v>
      </c>
      <c r="B13" s="88">
        <f>(P8*12)+M8+N8</f>
        <v>341712.79999999993</v>
      </c>
      <c r="C13" s="235" t="s">
        <v>172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6"/>
    </row>
    <row r="14" spans="1:16" ht="12" customHeight="1">
      <c r="A14" s="87" t="s">
        <v>29</v>
      </c>
      <c r="B14" s="88">
        <f>B13*30.2%</f>
        <v>103197.26559999997</v>
      </c>
      <c r="C14" s="235" t="s">
        <v>85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6"/>
    </row>
    <row r="15" spans="1:16" ht="12" customHeight="1">
      <c r="A15" s="87" t="s">
        <v>128</v>
      </c>
      <c r="B15" s="88">
        <v>28800</v>
      </c>
      <c r="C15" s="235" t="s">
        <v>189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6"/>
    </row>
    <row r="16" spans="1:16" ht="12" customHeight="1">
      <c r="A16" s="87" t="s">
        <v>129</v>
      </c>
      <c r="B16" s="88">
        <f>(P9*12)+37689.6</f>
        <v>162489.6</v>
      </c>
      <c r="C16" s="235" t="s">
        <v>184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</row>
    <row r="17" spans="1:16" ht="12" customHeight="1">
      <c r="A17" s="87" t="s">
        <v>129</v>
      </c>
      <c r="B17" s="88">
        <v>20000</v>
      </c>
      <c r="C17" s="235" t="s">
        <v>182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6"/>
    </row>
    <row r="18" spans="1:16" ht="12" customHeight="1">
      <c r="A18" s="87">
        <v>290</v>
      </c>
      <c r="B18" s="88">
        <v>5000</v>
      </c>
      <c r="C18" s="226" t="s">
        <v>139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8"/>
    </row>
    <row r="19" spans="1:16" ht="12" customHeight="1">
      <c r="A19" s="89" t="s">
        <v>130</v>
      </c>
      <c r="B19" s="88">
        <v>35000</v>
      </c>
      <c r="C19" s="235" t="s">
        <v>135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6"/>
    </row>
    <row r="20" spans="1:16" ht="12" customHeight="1">
      <c r="A20" s="87" t="s">
        <v>131</v>
      </c>
      <c r="B20" s="88">
        <v>45000</v>
      </c>
      <c r="C20" s="235" t="s">
        <v>143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6"/>
    </row>
    <row r="21" spans="1:16" ht="12" customHeight="1">
      <c r="A21" s="87" t="s">
        <v>87</v>
      </c>
      <c r="B21" s="88">
        <v>10000</v>
      </c>
      <c r="C21" s="235" t="s">
        <v>134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6"/>
    </row>
    <row r="22" spans="1:16" ht="12" customHeight="1" thickBot="1">
      <c r="A22" s="90" t="s">
        <v>30</v>
      </c>
      <c r="B22" s="91">
        <f>B13+B14+B15+B16+B17+B18+B19+B20+B21</f>
        <v>751199.6656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60"/>
    </row>
    <row r="23" spans="1:16" ht="12" customHeight="1">
      <c r="A23" s="150"/>
      <c r="B23" s="94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ht="15.75" thickBot="1">
      <c r="A24" s="92"/>
      <c r="B24" s="93"/>
      <c r="C24" s="93"/>
      <c r="D24" s="94"/>
      <c r="E24" s="95"/>
      <c r="F24" s="95"/>
      <c r="G24" s="95"/>
      <c r="H24" s="95"/>
      <c r="I24" s="95"/>
      <c r="J24" s="95"/>
      <c r="K24" s="95"/>
      <c r="L24" s="96"/>
      <c r="M24" s="96"/>
      <c r="N24" s="96"/>
      <c r="O24" s="96"/>
      <c r="P24" s="96"/>
    </row>
    <row r="25" spans="1:16" ht="15.75" thickBot="1">
      <c r="A25" s="63"/>
      <c r="B25" s="64"/>
      <c r="C25" s="64"/>
      <c r="D25" s="64"/>
      <c r="E25" s="220" t="s">
        <v>37</v>
      </c>
      <c r="F25" s="221"/>
      <c r="G25" s="221"/>
      <c r="H25" s="221"/>
      <c r="I25" s="221"/>
      <c r="J25" s="221"/>
      <c r="K25" s="222"/>
      <c r="L25" s="64"/>
      <c r="M25" s="64"/>
      <c r="N25" s="64"/>
      <c r="O25" s="64"/>
      <c r="P25" s="64"/>
    </row>
    <row r="26" spans="1:16" ht="12" customHeight="1">
      <c r="A26" s="97" t="s">
        <v>28</v>
      </c>
      <c r="B26" s="98">
        <f>(70000/130.2)*100</f>
        <v>53763.44086021505</v>
      </c>
      <c r="C26" s="267" t="s">
        <v>163</v>
      </c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8"/>
    </row>
    <row r="27" spans="1:16" ht="12" customHeight="1">
      <c r="A27" s="99" t="s">
        <v>29</v>
      </c>
      <c r="B27" s="88">
        <f>B26*30.2%</f>
        <v>16236.559139784944</v>
      </c>
      <c r="C27" s="235" t="s">
        <v>85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6"/>
    </row>
    <row r="28" spans="1:16" ht="12" customHeight="1">
      <c r="A28" s="100" t="s">
        <v>87</v>
      </c>
      <c r="B28" s="88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70"/>
    </row>
    <row r="29" spans="1:16" ht="12" customHeight="1" thickBot="1">
      <c r="A29" s="101" t="s">
        <v>30</v>
      </c>
      <c r="B29" s="102">
        <f>SUM(B26:B28)</f>
        <v>70000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2"/>
    </row>
    <row r="30" spans="1:16" ht="12" customHeight="1">
      <c r="A30" s="153"/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ht="12" customHeight="1">
      <c r="A31" s="153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</row>
    <row r="32" spans="1:16" ht="12" customHeight="1">
      <c r="A32" s="153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1:16" ht="12" customHeight="1">
      <c r="A33" s="153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  <row r="34" spans="1:16" ht="12" customHeight="1">
      <c r="A34" s="153"/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</row>
    <row r="35" spans="1:16" ht="12" customHeight="1">
      <c r="A35" s="153"/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</row>
    <row r="36" spans="1:16" ht="12" customHeight="1">
      <c r="A36" s="153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1:16" ht="12" customHeight="1">
      <c r="A37" s="153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1:16" ht="12" customHeight="1" thickBot="1">
      <c r="A38" s="153"/>
      <c r="B38" s="154"/>
      <c r="C38" s="155"/>
      <c r="D38" s="155"/>
      <c r="E38" s="155"/>
      <c r="F38" s="155"/>
      <c r="G38" s="156"/>
      <c r="H38" s="156"/>
      <c r="I38" s="156"/>
      <c r="J38" s="156"/>
      <c r="K38" s="156"/>
      <c r="L38" s="155"/>
      <c r="M38" s="155"/>
      <c r="N38" s="155"/>
      <c r="O38" s="155"/>
      <c r="P38" s="155"/>
    </row>
    <row r="39" spans="1:16" ht="19.5" customHeight="1" thickBot="1">
      <c r="A39" s="63"/>
      <c r="B39" s="64"/>
      <c r="C39" s="64"/>
      <c r="D39" s="64"/>
      <c r="E39" s="64"/>
      <c r="F39" s="64"/>
      <c r="G39" s="223" t="s">
        <v>65</v>
      </c>
      <c r="H39" s="224"/>
      <c r="I39" s="224"/>
      <c r="J39" s="224"/>
      <c r="K39" s="225"/>
      <c r="L39" s="64"/>
      <c r="M39" s="64"/>
      <c r="N39" s="64"/>
      <c r="O39" s="64"/>
      <c r="P39" s="64"/>
    </row>
    <row r="40" spans="1:16" ht="15" customHeight="1">
      <c r="A40" s="253" t="s">
        <v>20</v>
      </c>
      <c r="B40" s="254"/>
      <c r="C40" s="208" t="s">
        <v>21</v>
      </c>
      <c r="D40" s="240" t="s">
        <v>22</v>
      </c>
      <c r="E40" s="208" t="s">
        <v>23</v>
      </c>
      <c r="F40" s="208" t="s">
        <v>24</v>
      </c>
      <c r="G40" s="240" t="s">
        <v>25</v>
      </c>
      <c r="H40" s="208" t="s">
        <v>26</v>
      </c>
      <c r="I40" s="208" t="s">
        <v>27</v>
      </c>
      <c r="J40" s="240" t="s">
        <v>28</v>
      </c>
      <c r="K40" s="208" t="s">
        <v>29</v>
      </c>
      <c r="L40" s="103"/>
      <c r="M40" s="103"/>
      <c r="N40" s="103"/>
      <c r="O40" s="103"/>
      <c r="P40" s="104"/>
    </row>
    <row r="41" spans="1:16" ht="17.25" customHeight="1">
      <c r="A41" s="255"/>
      <c r="B41" s="256"/>
      <c r="C41" s="209"/>
      <c r="D41" s="241"/>
      <c r="E41" s="209"/>
      <c r="F41" s="209"/>
      <c r="G41" s="241"/>
      <c r="H41" s="209"/>
      <c r="I41" s="209"/>
      <c r="J41" s="241"/>
      <c r="K41" s="209"/>
      <c r="L41" s="96"/>
      <c r="M41" s="96"/>
      <c r="N41" s="96"/>
      <c r="O41" s="96"/>
      <c r="P41" s="105"/>
    </row>
    <row r="42" spans="1:16" ht="12" customHeight="1">
      <c r="A42" s="257" t="s">
        <v>83</v>
      </c>
      <c r="B42" s="258"/>
      <c r="C42" s="106"/>
      <c r="D42" s="106"/>
      <c r="E42" s="107"/>
      <c r="F42" s="70">
        <v>12</v>
      </c>
      <c r="G42" s="106">
        <f>(D42+(D42*E42%))*12</f>
        <v>0</v>
      </c>
      <c r="H42" s="106"/>
      <c r="I42" s="106"/>
      <c r="J42" s="106">
        <f>G42+H42+I42</f>
        <v>0</v>
      </c>
      <c r="K42" s="106">
        <f>J42*30.2%</f>
        <v>0</v>
      </c>
      <c r="L42" s="96"/>
      <c r="M42" s="96"/>
      <c r="N42" s="96"/>
      <c r="O42" s="96"/>
      <c r="P42" s="105"/>
    </row>
    <row r="43" spans="1:16" ht="12" customHeight="1">
      <c r="A43" s="257" t="s">
        <v>125</v>
      </c>
      <c r="B43" s="258"/>
      <c r="C43" s="106"/>
      <c r="D43" s="74">
        <v>2372</v>
      </c>
      <c r="E43" s="107"/>
      <c r="F43" s="70">
        <v>12</v>
      </c>
      <c r="G43" s="106">
        <f>(D43+(D43*E43%))*12</f>
        <v>28464</v>
      </c>
      <c r="H43" s="106"/>
      <c r="I43" s="106"/>
      <c r="J43" s="106">
        <f>G43</f>
        <v>28464</v>
      </c>
      <c r="K43" s="106">
        <f>J43*30.2%</f>
        <v>8596.128</v>
      </c>
      <c r="L43" s="96"/>
      <c r="M43" s="96"/>
      <c r="N43" s="96"/>
      <c r="O43" s="96"/>
      <c r="P43" s="105"/>
    </row>
    <row r="44" spans="1:16" ht="12" customHeight="1">
      <c r="A44" s="199" t="s">
        <v>30</v>
      </c>
      <c r="B44" s="200"/>
      <c r="C44" s="108">
        <f aca="true" t="shared" si="0" ref="C44:K44">SUM(C42:C43)</f>
        <v>0</v>
      </c>
      <c r="D44" s="108">
        <f t="shared" si="0"/>
        <v>2372</v>
      </c>
      <c r="E44" s="108">
        <f t="shared" si="0"/>
        <v>0</v>
      </c>
      <c r="F44" s="108">
        <f t="shared" si="0"/>
        <v>24</v>
      </c>
      <c r="G44" s="109">
        <f t="shared" si="0"/>
        <v>28464</v>
      </c>
      <c r="H44" s="108">
        <f t="shared" si="0"/>
        <v>0</v>
      </c>
      <c r="I44" s="108">
        <f t="shared" si="0"/>
        <v>0</v>
      </c>
      <c r="J44" s="108">
        <f t="shared" si="0"/>
        <v>28464</v>
      </c>
      <c r="K44" s="108">
        <f t="shared" si="0"/>
        <v>8596.128</v>
      </c>
      <c r="L44" s="96"/>
      <c r="M44" s="96"/>
      <c r="N44" s="96"/>
      <c r="O44" s="96"/>
      <c r="P44" s="105"/>
    </row>
    <row r="45" spans="1:16" ht="12" customHeight="1">
      <c r="A45" s="261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3"/>
    </row>
    <row r="46" spans="1:21" ht="12" customHeight="1">
      <c r="A46" s="110" t="s">
        <v>31</v>
      </c>
      <c r="B46" s="111" t="s">
        <v>25</v>
      </c>
      <c r="C46" s="251" t="s">
        <v>86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2"/>
      <c r="U46" s="18"/>
    </row>
    <row r="47" spans="1:16" ht="12" customHeight="1">
      <c r="A47" s="112" t="s">
        <v>132</v>
      </c>
      <c r="B47" s="113">
        <v>49500</v>
      </c>
      <c r="C47" s="235" t="s">
        <v>142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6"/>
    </row>
    <row r="48" spans="1:16" ht="12" customHeight="1">
      <c r="A48" s="87">
        <v>226</v>
      </c>
      <c r="B48" s="88">
        <v>25000</v>
      </c>
      <c r="C48" s="235" t="s">
        <v>185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6"/>
    </row>
    <row r="49" spans="1:16" ht="12" customHeight="1">
      <c r="A49" s="114" t="s">
        <v>129</v>
      </c>
      <c r="B49" s="88">
        <f>J44+K44</f>
        <v>37060.128</v>
      </c>
      <c r="C49" s="235" t="s">
        <v>173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6"/>
    </row>
    <row r="50" spans="1:16" ht="12" customHeight="1">
      <c r="A50" s="114" t="s">
        <v>87</v>
      </c>
      <c r="B50" s="88">
        <v>259344</v>
      </c>
      <c r="C50" s="235" t="s">
        <v>124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6"/>
    </row>
    <row r="51" spans="1:16" ht="12" customHeight="1" thickBot="1">
      <c r="A51" s="115" t="s">
        <v>30</v>
      </c>
      <c r="B51" s="91">
        <f>SUM(B47:B50)</f>
        <v>370904.128</v>
      </c>
      <c r="C51" s="259" t="s">
        <v>78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60"/>
    </row>
    <row r="52" spans="1:16" ht="15.75" thickBot="1">
      <c r="A52" s="63"/>
      <c r="B52" s="63"/>
      <c r="C52" s="63"/>
      <c r="D52" s="63"/>
      <c r="E52" s="63"/>
      <c r="F52" s="63"/>
      <c r="G52" s="220" t="s">
        <v>73</v>
      </c>
      <c r="H52" s="221"/>
      <c r="I52" s="221"/>
      <c r="J52" s="221"/>
      <c r="K52" s="222"/>
      <c r="L52" s="63"/>
      <c r="M52" s="63"/>
      <c r="N52" s="63"/>
      <c r="O52" s="64"/>
      <c r="P52" s="64"/>
    </row>
    <row r="53" spans="1:16" ht="30" customHeight="1">
      <c r="A53" s="65" t="s">
        <v>113</v>
      </c>
      <c r="B53" s="215" t="s">
        <v>94</v>
      </c>
      <c r="C53" s="215" t="s">
        <v>121</v>
      </c>
      <c r="D53" s="215" t="s">
        <v>164</v>
      </c>
      <c r="E53" s="242" t="s">
        <v>96</v>
      </c>
      <c r="F53" s="243"/>
      <c r="G53" s="116" t="s">
        <v>97</v>
      </c>
      <c r="H53" s="117"/>
      <c r="I53" s="242" t="s">
        <v>126</v>
      </c>
      <c r="J53" s="243"/>
      <c r="K53" s="242" t="s">
        <v>98</v>
      </c>
      <c r="L53" s="243"/>
      <c r="M53" s="215" t="s">
        <v>99</v>
      </c>
      <c r="N53" s="215" t="s">
        <v>100</v>
      </c>
      <c r="O53" s="103"/>
      <c r="P53" s="104"/>
    </row>
    <row r="54" spans="1:16" ht="19.5" customHeight="1">
      <c r="A54" s="237" t="s">
        <v>101</v>
      </c>
      <c r="B54" s="216"/>
      <c r="C54" s="216"/>
      <c r="D54" s="216"/>
      <c r="E54" s="246"/>
      <c r="F54" s="247"/>
      <c r="G54" s="118" t="s">
        <v>102</v>
      </c>
      <c r="H54" s="119"/>
      <c r="I54" s="244"/>
      <c r="J54" s="245"/>
      <c r="K54" s="244"/>
      <c r="L54" s="245"/>
      <c r="M54" s="216"/>
      <c r="N54" s="216"/>
      <c r="O54" s="96"/>
      <c r="P54" s="105"/>
    </row>
    <row r="55" spans="1:20" ht="22.5" customHeight="1">
      <c r="A55" s="238"/>
      <c r="B55" s="216"/>
      <c r="C55" s="216"/>
      <c r="D55" s="216"/>
      <c r="E55" s="231" t="s">
        <v>103</v>
      </c>
      <c r="F55" s="233" t="s">
        <v>104</v>
      </c>
      <c r="G55" s="211" t="s">
        <v>105</v>
      </c>
      <c r="H55" s="212"/>
      <c r="I55" s="246"/>
      <c r="J55" s="247"/>
      <c r="K55" s="246"/>
      <c r="L55" s="247"/>
      <c r="M55" s="216"/>
      <c r="N55" s="216"/>
      <c r="O55" s="96"/>
      <c r="P55" s="105"/>
      <c r="T55" s="27"/>
    </row>
    <row r="56" spans="1:16" ht="15" customHeight="1">
      <c r="A56" s="239"/>
      <c r="B56" s="217"/>
      <c r="C56" s="217"/>
      <c r="D56" s="217"/>
      <c r="E56" s="232"/>
      <c r="F56" s="234"/>
      <c r="G56" s="68" t="s">
        <v>103</v>
      </c>
      <c r="H56" s="68" t="s">
        <v>104</v>
      </c>
      <c r="I56" s="68" t="s">
        <v>103</v>
      </c>
      <c r="J56" s="68" t="s">
        <v>104</v>
      </c>
      <c r="K56" s="68" t="s">
        <v>106</v>
      </c>
      <c r="L56" s="68" t="s">
        <v>104</v>
      </c>
      <c r="M56" s="217"/>
      <c r="N56" s="217"/>
      <c r="O56" s="96"/>
      <c r="P56" s="105"/>
    </row>
    <row r="57" spans="1:16" ht="15">
      <c r="A57" s="131">
        <v>1</v>
      </c>
      <c r="B57" s="132">
        <v>2</v>
      </c>
      <c r="C57" s="132">
        <v>3</v>
      </c>
      <c r="D57" s="132">
        <v>4</v>
      </c>
      <c r="E57" s="133">
        <v>5</v>
      </c>
      <c r="F57" s="132">
        <v>6</v>
      </c>
      <c r="G57" s="133">
        <v>7</v>
      </c>
      <c r="H57" s="132">
        <v>8</v>
      </c>
      <c r="I57" s="133">
        <v>9</v>
      </c>
      <c r="J57" s="132">
        <v>10</v>
      </c>
      <c r="K57" s="133">
        <v>11</v>
      </c>
      <c r="L57" s="132">
        <v>12</v>
      </c>
      <c r="M57" s="132">
        <v>13</v>
      </c>
      <c r="N57" s="132">
        <v>14</v>
      </c>
      <c r="O57" s="96"/>
      <c r="P57" s="105"/>
    </row>
    <row r="58" spans="1:16" ht="15">
      <c r="A58" s="72" t="s">
        <v>110</v>
      </c>
      <c r="B58" s="73">
        <v>0.5</v>
      </c>
      <c r="C58" s="73">
        <v>12</v>
      </c>
      <c r="D58" s="120">
        <f>5634/2</f>
        <v>2817</v>
      </c>
      <c r="E58" s="121" t="s">
        <v>108</v>
      </c>
      <c r="F58" s="122">
        <f>(D58*25%)</f>
        <v>704.25</v>
      </c>
      <c r="G58" s="73">
        <v>25</v>
      </c>
      <c r="H58" s="120">
        <f>D58*25%</f>
        <v>704.25</v>
      </c>
      <c r="I58" s="70">
        <v>182</v>
      </c>
      <c r="J58" s="123">
        <f>D58*182%</f>
        <v>5126.9400000000005</v>
      </c>
      <c r="K58" s="73" t="s">
        <v>107</v>
      </c>
      <c r="L58" s="120">
        <f>(D58+F58+H58+J58)*15%</f>
        <v>1402.866</v>
      </c>
      <c r="M58" s="79"/>
      <c r="N58" s="120">
        <f>D58+F58+H58+L58+J58</f>
        <v>10755.306</v>
      </c>
      <c r="O58" s="96"/>
      <c r="P58" s="105"/>
    </row>
    <row r="59" spans="1:16" ht="15">
      <c r="A59" s="72" t="s">
        <v>111</v>
      </c>
      <c r="B59" s="73">
        <v>0.5</v>
      </c>
      <c r="C59" s="73">
        <v>11</v>
      </c>
      <c r="D59" s="120">
        <f>5210/2</f>
        <v>2605</v>
      </c>
      <c r="E59" s="121" t="s">
        <v>108</v>
      </c>
      <c r="F59" s="122">
        <f>(D59*25%)</f>
        <v>651.25</v>
      </c>
      <c r="G59" s="73">
        <v>25</v>
      </c>
      <c r="H59" s="120">
        <f>D59*25%</f>
        <v>651.25</v>
      </c>
      <c r="I59" s="70">
        <v>165</v>
      </c>
      <c r="J59" s="123">
        <f>D59*165%+8.8</f>
        <v>4307.05</v>
      </c>
      <c r="K59" s="73" t="s">
        <v>107</v>
      </c>
      <c r="L59" s="120">
        <f>(D59+F59+H59+J59)*15%</f>
        <v>1232.1825</v>
      </c>
      <c r="M59" s="79"/>
      <c r="N59" s="120">
        <f>D59+F59+H59+L59+J59</f>
        <v>9446.7325</v>
      </c>
      <c r="O59" s="96"/>
      <c r="P59" s="105"/>
    </row>
    <row r="60" spans="1:16" ht="15">
      <c r="A60" s="124" t="s">
        <v>112</v>
      </c>
      <c r="B60" s="83">
        <f>SUM(B58:B59)</f>
        <v>1</v>
      </c>
      <c r="C60" s="83"/>
      <c r="D60" s="125">
        <f>SUM(D58:D59)</f>
        <v>5422</v>
      </c>
      <c r="E60" s="83"/>
      <c r="F60" s="125">
        <f>SUM(F58:F59)</f>
        <v>1355.5</v>
      </c>
      <c r="G60" s="83"/>
      <c r="H60" s="125">
        <f aca="true" t="shared" si="1" ref="H60:N60">SUM(H58:H59)</f>
        <v>1355.5</v>
      </c>
      <c r="I60" s="125">
        <f t="shared" si="1"/>
        <v>347</v>
      </c>
      <c r="J60" s="125">
        <f t="shared" si="1"/>
        <v>9433.990000000002</v>
      </c>
      <c r="K60" s="83">
        <f t="shared" si="1"/>
        <v>0</v>
      </c>
      <c r="L60" s="125">
        <f t="shared" si="1"/>
        <v>2635.0485</v>
      </c>
      <c r="M60" s="83">
        <f t="shared" si="1"/>
        <v>0</v>
      </c>
      <c r="N60" s="125">
        <f t="shared" si="1"/>
        <v>20202.038500000002</v>
      </c>
      <c r="O60" s="96"/>
      <c r="P60" s="105"/>
    </row>
    <row r="61" spans="1:16" ht="15">
      <c r="A61" s="248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50"/>
    </row>
    <row r="62" spans="1:16" ht="12" customHeight="1">
      <c r="A62" s="110" t="s">
        <v>31</v>
      </c>
      <c r="B62" s="111" t="s">
        <v>25</v>
      </c>
      <c r="C62" s="251" t="s">
        <v>86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2"/>
    </row>
    <row r="63" spans="1:16" ht="12" customHeight="1">
      <c r="A63" s="66" t="s">
        <v>28</v>
      </c>
      <c r="B63" s="126">
        <f>N60*12</f>
        <v>242424.46200000003</v>
      </c>
      <c r="C63" s="235" t="s">
        <v>174</v>
      </c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6"/>
    </row>
    <row r="64" spans="1:16" ht="12" customHeight="1">
      <c r="A64" s="87" t="s">
        <v>29</v>
      </c>
      <c r="B64" s="127">
        <f>B63*30.2%</f>
        <v>73212.18752400001</v>
      </c>
      <c r="C64" s="235" t="s">
        <v>85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6"/>
    </row>
    <row r="65" spans="1:16" ht="12" customHeight="1">
      <c r="A65" s="87" t="s">
        <v>132</v>
      </c>
      <c r="B65" s="88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6"/>
    </row>
    <row r="66" spans="1:16" ht="12" customHeight="1">
      <c r="A66" s="87" t="s">
        <v>129</v>
      </c>
      <c r="B66" s="88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6"/>
    </row>
    <row r="67" spans="1:16" ht="12" customHeight="1">
      <c r="A67" s="87" t="s">
        <v>130</v>
      </c>
      <c r="B67" s="88">
        <v>5370</v>
      </c>
      <c r="C67" s="235" t="s">
        <v>139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6"/>
    </row>
    <row r="68" spans="1:16" ht="12" customHeight="1">
      <c r="A68" s="87" t="s">
        <v>131</v>
      </c>
      <c r="B68" s="88"/>
      <c r="C68" s="235" t="s">
        <v>36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6"/>
    </row>
    <row r="69" spans="1:16" ht="12" customHeight="1">
      <c r="A69" s="128" t="s">
        <v>87</v>
      </c>
      <c r="B69" s="113"/>
      <c r="C69" s="226" t="s">
        <v>133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8"/>
    </row>
    <row r="70" spans="1:16" ht="12" customHeight="1" thickBot="1">
      <c r="A70" s="115" t="s">
        <v>30</v>
      </c>
      <c r="B70" s="91">
        <f>B63+B64+B65+B66+B67+B68+B69</f>
        <v>321006.649524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30"/>
    </row>
    <row r="71" spans="1:16" ht="12" customHeight="1">
      <c r="A71" s="150"/>
      <c r="B71" s="94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" customHeight="1">
      <c r="A72" s="150"/>
      <c r="B72" s="94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" customHeight="1">
      <c r="A73" s="150"/>
      <c r="B73" s="9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" customHeight="1">
      <c r="A74" s="150"/>
      <c r="B74" s="94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" customHeight="1">
      <c r="A75" s="150"/>
      <c r="B75" s="94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" customHeight="1" thickBot="1">
      <c r="A76" s="150"/>
      <c r="B76" s="94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5.75" thickBot="1">
      <c r="A77" s="92"/>
      <c r="B77" s="93"/>
      <c r="C77" s="93"/>
      <c r="D77" s="93"/>
      <c r="E77" s="93"/>
      <c r="F77" s="93"/>
      <c r="G77" s="93"/>
      <c r="H77" s="220" t="s">
        <v>38</v>
      </c>
      <c r="I77" s="221"/>
      <c r="J77" s="222"/>
      <c r="K77" s="93"/>
      <c r="L77" s="93"/>
      <c r="M77" s="93"/>
      <c r="N77" s="93"/>
      <c r="O77" s="64"/>
      <c r="P77" s="64"/>
    </row>
    <row r="78" spans="1:16" ht="42">
      <c r="A78" s="65" t="s">
        <v>113</v>
      </c>
      <c r="B78" s="201" t="s">
        <v>94</v>
      </c>
      <c r="C78" s="201" t="s">
        <v>154</v>
      </c>
      <c r="D78" s="201" t="s">
        <v>95</v>
      </c>
      <c r="E78" s="213" t="s">
        <v>114</v>
      </c>
      <c r="F78" s="213"/>
      <c r="G78" s="214" t="s">
        <v>97</v>
      </c>
      <c r="H78" s="214"/>
      <c r="I78" s="214"/>
      <c r="J78" s="214"/>
      <c r="K78" s="213" t="s">
        <v>98</v>
      </c>
      <c r="L78" s="213"/>
      <c r="M78" s="208" t="s">
        <v>119</v>
      </c>
      <c r="N78" s="208" t="s">
        <v>120</v>
      </c>
      <c r="O78" s="201" t="s">
        <v>27</v>
      </c>
      <c r="P78" s="203" t="s">
        <v>100</v>
      </c>
    </row>
    <row r="79" spans="1:16" ht="15">
      <c r="A79" s="210" t="s">
        <v>101</v>
      </c>
      <c r="B79" s="202"/>
      <c r="C79" s="202"/>
      <c r="D79" s="202"/>
      <c r="E79" s="207"/>
      <c r="F79" s="207"/>
      <c r="G79" s="198" t="s">
        <v>102</v>
      </c>
      <c r="H79" s="198"/>
      <c r="I79" s="198"/>
      <c r="J79" s="198"/>
      <c r="K79" s="207"/>
      <c r="L79" s="207"/>
      <c r="M79" s="209"/>
      <c r="N79" s="209"/>
      <c r="O79" s="202"/>
      <c r="P79" s="204"/>
    </row>
    <row r="80" spans="1:16" ht="27" customHeight="1">
      <c r="A80" s="210"/>
      <c r="B80" s="202"/>
      <c r="C80" s="202"/>
      <c r="D80" s="202"/>
      <c r="E80" s="205" t="s">
        <v>103</v>
      </c>
      <c r="F80" s="206" t="s">
        <v>104</v>
      </c>
      <c r="G80" s="207" t="s">
        <v>115</v>
      </c>
      <c r="H80" s="207"/>
      <c r="I80" s="207" t="s">
        <v>116</v>
      </c>
      <c r="J80" s="207"/>
      <c r="K80" s="207"/>
      <c r="L80" s="207"/>
      <c r="M80" s="209"/>
      <c r="N80" s="209"/>
      <c r="O80" s="202"/>
      <c r="P80" s="204"/>
    </row>
    <row r="81" spans="1:16" ht="15">
      <c r="A81" s="210"/>
      <c r="B81" s="202"/>
      <c r="C81" s="202"/>
      <c r="D81" s="202"/>
      <c r="E81" s="205"/>
      <c r="F81" s="206"/>
      <c r="G81" s="68" t="s">
        <v>103</v>
      </c>
      <c r="H81" s="68" t="s">
        <v>104</v>
      </c>
      <c r="I81" s="68" t="s">
        <v>103</v>
      </c>
      <c r="J81" s="68" t="s">
        <v>104</v>
      </c>
      <c r="K81" s="68" t="s">
        <v>106</v>
      </c>
      <c r="L81" s="68" t="s">
        <v>104</v>
      </c>
      <c r="M81" s="209"/>
      <c r="N81" s="209"/>
      <c r="O81" s="202"/>
      <c r="P81" s="204"/>
    </row>
    <row r="82" spans="1:16" ht="12" customHeight="1">
      <c r="A82" s="110">
        <v>1</v>
      </c>
      <c r="B82" s="111">
        <v>2</v>
      </c>
      <c r="C82" s="111">
        <v>3</v>
      </c>
      <c r="D82" s="111">
        <v>4</v>
      </c>
      <c r="E82" s="111">
        <v>5</v>
      </c>
      <c r="F82" s="111">
        <v>6</v>
      </c>
      <c r="G82" s="111">
        <v>7</v>
      </c>
      <c r="H82" s="111">
        <v>8</v>
      </c>
      <c r="I82" s="111">
        <v>9</v>
      </c>
      <c r="J82" s="111">
        <v>10</v>
      </c>
      <c r="K82" s="111">
        <v>11</v>
      </c>
      <c r="L82" s="111">
        <v>12</v>
      </c>
      <c r="M82" s="111">
        <v>13</v>
      </c>
      <c r="N82" s="111">
        <v>14</v>
      </c>
      <c r="O82" s="111">
        <v>15</v>
      </c>
      <c r="P82" s="134">
        <v>16</v>
      </c>
    </row>
    <row r="83" spans="1:16" ht="12" customHeight="1">
      <c r="A83" s="72" t="s">
        <v>118</v>
      </c>
      <c r="B83" s="73">
        <v>1</v>
      </c>
      <c r="C83" s="73">
        <v>12</v>
      </c>
      <c r="D83" s="74">
        <f>(3134)+(3134*4%)</f>
        <v>3259.36</v>
      </c>
      <c r="E83" s="121">
        <v>20</v>
      </c>
      <c r="F83" s="74">
        <f>D83*20%</f>
        <v>651.8720000000001</v>
      </c>
      <c r="G83" s="73">
        <v>100</v>
      </c>
      <c r="H83" s="74">
        <f>D83</f>
        <v>3259.36</v>
      </c>
      <c r="I83" s="77">
        <v>100</v>
      </c>
      <c r="J83" s="78">
        <f>(D83)*100%</f>
        <v>3259.36</v>
      </c>
      <c r="K83" s="73" t="s">
        <v>107</v>
      </c>
      <c r="L83" s="74">
        <f>(D83+F83+H83+J83)*15%</f>
        <v>1564.4928000000002</v>
      </c>
      <c r="M83" s="74">
        <f>D83*2</f>
        <v>6518.72</v>
      </c>
      <c r="N83" s="74">
        <f>(D83*3)+((D83*3)*15%)</f>
        <v>11244.792</v>
      </c>
      <c r="O83" s="74">
        <f>(D83*2)+((D83*2)*15%)</f>
        <v>7496.528</v>
      </c>
      <c r="P83" s="80">
        <f>D83+F83+H83+J83+L83</f>
        <v>11994.444800000001</v>
      </c>
    </row>
    <row r="84" spans="1:16" ht="12" customHeight="1">
      <c r="A84" s="72"/>
      <c r="B84" s="73"/>
      <c r="C84" s="73"/>
      <c r="D84" s="74"/>
      <c r="E84" s="121"/>
      <c r="F84" s="76"/>
      <c r="G84" s="73"/>
      <c r="H84" s="74"/>
      <c r="I84" s="77"/>
      <c r="J84" s="78"/>
      <c r="K84" s="73"/>
      <c r="L84" s="74"/>
      <c r="M84" s="74"/>
      <c r="N84" s="74"/>
      <c r="O84" s="74"/>
      <c r="P84" s="80"/>
    </row>
    <row r="85" spans="1:16" ht="12" customHeight="1">
      <c r="A85" s="124" t="s">
        <v>112</v>
      </c>
      <c r="B85" s="83">
        <f>SUM(B83:B84)</f>
        <v>1</v>
      </c>
      <c r="C85" s="83"/>
      <c r="D85" s="84">
        <f>SUM(D83:D84)</f>
        <v>3259.36</v>
      </c>
      <c r="E85" s="83"/>
      <c r="F85" s="84">
        <f>SUM(F83:F84)</f>
        <v>651.8720000000001</v>
      </c>
      <c r="G85" s="83"/>
      <c r="H85" s="84">
        <f>SUM(H83:H84)</f>
        <v>3259.36</v>
      </c>
      <c r="I85" s="83"/>
      <c r="J85" s="84">
        <f>SUM(J83:J84)</f>
        <v>3259.36</v>
      </c>
      <c r="K85" s="83"/>
      <c r="L85" s="84">
        <f>SUM(L83:L84)</f>
        <v>1564.4928000000002</v>
      </c>
      <c r="M85" s="84">
        <f>SUM(M83:M84)</f>
        <v>6518.72</v>
      </c>
      <c r="N85" s="84">
        <f>SUM(N83:N84)</f>
        <v>11244.792</v>
      </c>
      <c r="O85" s="84">
        <f>SUM(O83:O84)</f>
        <v>7496.528</v>
      </c>
      <c r="P85" s="86">
        <f>SUM(P83:P84)</f>
        <v>11994.444800000001</v>
      </c>
    </row>
    <row r="86" spans="1:16" ht="12" customHeight="1">
      <c r="A86" s="12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130"/>
      <c r="N86" s="130"/>
      <c r="O86" s="96"/>
      <c r="P86" s="105"/>
    </row>
    <row r="87" spans="1:16" ht="12" customHeight="1">
      <c r="A87" s="69" t="s">
        <v>31</v>
      </c>
      <c r="B87" s="70" t="s">
        <v>25</v>
      </c>
      <c r="C87" s="166" t="s">
        <v>32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</row>
    <row r="88" spans="1:16" ht="12" customHeight="1">
      <c r="A88" s="99">
        <v>211</v>
      </c>
      <c r="B88" s="88">
        <f>(P85*12)+O85+N85+M85</f>
        <v>169193.3776</v>
      </c>
      <c r="C88" s="235" t="s">
        <v>172</v>
      </c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</row>
    <row r="89" spans="1:16" ht="12" customHeight="1">
      <c r="A89" s="99">
        <v>213</v>
      </c>
      <c r="B89" s="88">
        <f>B88*30.2%</f>
        <v>51096.4000352</v>
      </c>
      <c r="C89" s="235" t="s">
        <v>85</v>
      </c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</row>
    <row r="90" spans="1:16" ht="12" customHeight="1">
      <c r="A90" s="99">
        <v>212</v>
      </c>
      <c r="B90" s="88">
        <v>6000</v>
      </c>
      <c r="C90" s="235" t="s">
        <v>39</v>
      </c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</row>
    <row r="91" spans="1:16" ht="12" customHeight="1">
      <c r="A91" s="99">
        <v>222</v>
      </c>
      <c r="B91" s="88">
        <v>1500</v>
      </c>
      <c r="C91" s="235" t="s">
        <v>34</v>
      </c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</row>
    <row r="92" spans="1:16" ht="12" customHeight="1">
      <c r="A92" s="99">
        <v>226</v>
      </c>
      <c r="B92" s="88">
        <v>12200</v>
      </c>
      <c r="C92" s="235" t="s">
        <v>181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</row>
    <row r="93" spans="1:16" ht="12" customHeight="1">
      <c r="A93" s="99">
        <v>290</v>
      </c>
      <c r="B93" s="88"/>
      <c r="C93" s="235" t="s">
        <v>35</v>
      </c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</row>
    <row r="94" spans="1:16" ht="12" customHeight="1">
      <c r="A94" s="100">
        <v>340</v>
      </c>
      <c r="B94" s="88"/>
      <c r="C94" s="235" t="s">
        <v>40</v>
      </c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</row>
    <row r="95" spans="1:16" ht="12" customHeight="1" thickBot="1">
      <c r="A95" s="115" t="s">
        <v>30</v>
      </c>
      <c r="B95" s="91">
        <f>SUM(B88:B94)</f>
        <v>239989.7776352</v>
      </c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</row>
    <row r="96" spans="1:16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</sheetData>
  <sheetProtection/>
  <mergeCells count="105">
    <mergeCell ref="C91:P91"/>
    <mergeCell ref="C92:P92"/>
    <mergeCell ref="C93:P93"/>
    <mergeCell ref="C94:P94"/>
    <mergeCell ref="C95:P95"/>
    <mergeCell ref="C69:P69"/>
    <mergeCell ref="C87:P87"/>
    <mergeCell ref="C88:P88"/>
    <mergeCell ref="C89:P89"/>
    <mergeCell ref="C90:P90"/>
    <mergeCell ref="A11:P11"/>
    <mergeCell ref="C26:P26"/>
    <mergeCell ref="C27:P27"/>
    <mergeCell ref="C28:P28"/>
    <mergeCell ref="C29:P29"/>
    <mergeCell ref="C12:P12"/>
    <mergeCell ref="C13:P13"/>
    <mergeCell ref="C14:P14"/>
    <mergeCell ref="C15:P15"/>
    <mergeCell ref="C16:P16"/>
    <mergeCell ref="A45:P45"/>
    <mergeCell ref="C22:P22"/>
    <mergeCell ref="G40:G41"/>
    <mergeCell ref="A42:B42"/>
    <mergeCell ref="K40:K41"/>
    <mergeCell ref="E25:K25"/>
    <mergeCell ref="E40:E41"/>
    <mergeCell ref="C17:P17"/>
    <mergeCell ref="N53:N56"/>
    <mergeCell ref="C50:P50"/>
    <mergeCell ref="C51:P51"/>
    <mergeCell ref="C49:P49"/>
    <mergeCell ref="C47:P47"/>
    <mergeCell ref="C48:P48"/>
    <mergeCell ref="C19:P19"/>
    <mergeCell ref="C20:P20"/>
    <mergeCell ref="C21:P21"/>
    <mergeCell ref="O3:O6"/>
    <mergeCell ref="E5:E6"/>
    <mergeCell ref="F5:F6"/>
    <mergeCell ref="M3:M6"/>
    <mergeCell ref="N3:N6"/>
    <mergeCell ref="G4:J4"/>
    <mergeCell ref="I5:J5"/>
    <mergeCell ref="G5:H5"/>
    <mergeCell ref="M53:M56"/>
    <mergeCell ref="I40:I41"/>
    <mergeCell ref="A61:P61"/>
    <mergeCell ref="C62:P62"/>
    <mergeCell ref="K53:L55"/>
    <mergeCell ref="B53:B56"/>
    <mergeCell ref="A40:B41"/>
    <mergeCell ref="A43:B43"/>
    <mergeCell ref="E53:F54"/>
    <mergeCell ref="C46:P46"/>
    <mergeCell ref="A54:A56"/>
    <mergeCell ref="C40:C41"/>
    <mergeCell ref="E3:F4"/>
    <mergeCell ref="G52:K52"/>
    <mergeCell ref="D40:D41"/>
    <mergeCell ref="J40:J41"/>
    <mergeCell ref="H40:H41"/>
    <mergeCell ref="I53:J55"/>
    <mergeCell ref="D53:D56"/>
    <mergeCell ref="F40:F41"/>
    <mergeCell ref="A4:A6"/>
    <mergeCell ref="C70:P70"/>
    <mergeCell ref="H77:J77"/>
    <mergeCell ref="E55:E56"/>
    <mergeCell ref="F55:F56"/>
    <mergeCell ref="C67:P67"/>
    <mergeCell ref="C68:P68"/>
    <mergeCell ref="C63:P63"/>
    <mergeCell ref="C64:P64"/>
    <mergeCell ref="C65:P65"/>
    <mergeCell ref="A1:P1"/>
    <mergeCell ref="G2:J2"/>
    <mergeCell ref="P3:P6"/>
    <mergeCell ref="K3:L5"/>
    <mergeCell ref="G39:K39"/>
    <mergeCell ref="B3:B6"/>
    <mergeCell ref="G3:J3"/>
    <mergeCell ref="C3:C6"/>
    <mergeCell ref="D3:D6"/>
    <mergeCell ref="C18:P18"/>
    <mergeCell ref="A79:A81"/>
    <mergeCell ref="I80:J80"/>
    <mergeCell ref="N78:N81"/>
    <mergeCell ref="G55:H55"/>
    <mergeCell ref="K78:L80"/>
    <mergeCell ref="E78:F79"/>
    <mergeCell ref="G78:J78"/>
    <mergeCell ref="B78:B81"/>
    <mergeCell ref="C53:C56"/>
    <mergeCell ref="C66:P66"/>
    <mergeCell ref="G79:J79"/>
    <mergeCell ref="A44:B44"/>
    <mergeCell ref="O78:O81"/>
    <mergeCell ref="P78:P81"/>
    <mergeCell ref="E80:E81"/>
    <mergeCell ref="F80:F81"/>
    <mergeCell ref="G80:H80"/>
    <mergeCell ref="C78:C81"/>
    <mergeCell ref="D78:D81"/>
    <mergeCell ref="M78:M81"/>
  </mergeCells>
  <printOptions/>
  <pageMargins left="0" right="0" top="0.5511811023622047" bottom="0.5511811023622047" header="0.11811023622047245" footer="0.118110236220472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22">
      <selection activeCell="K42" sqref="K42"/>
    </sheetView>
  </sheetViews>
  <sheetFormatPr defaultColWidth="9.140625" defaultRowHeight="15"/>
  <cols>
    <col min="5" max="5" width="14.57421875" style="0" bestFit="1" customWidth="1"/>
    <col min="8" max="8" width="13.57421875" style="0" customWidth="1"/>
  </cols>
  <sheetData>
    <row r="1" spans="4:5" ht="15">
      <c r="D1" s="278"/>
      <c r="E1" s="278"/>
    </row>
    <row r="2" spans="4:5" ht="15">
      <c r="D2" s="278"/>
      <c r="E2" s="278"/>
    </row>
    <row r="3" spans="4:5" ht="15">
      <c r="D3" s="278"/>
      <c r="E3" s="278"/>
    </row>
    <row r="4" spans="4:5" ht="15">
      <c r="D4" s="278"/>
      <c r="E4" s="278"/>
    </row>
    <row r="5" spans="4:5" ht="15">
      <c r="D5" s="278"/>
      <c r="E5" s="278"/>
    </row>
    <row r="6" spans="4:5" ht="15">
      <c r="D6" s="278"/>
      <c r="E6" s="278"/>
    </row>
    <row r="7" spans="1:8" ht="15" customHeight="1">
      <c r="A7" s="279" t="s">
        <v>74</v>
      </c>
      <c r="B7" s="279"/>
      <c r="C7" s="279"/>
      <c r="D7" s="279"/>
      <c r="E7" s="279"/>
      <c r="F7" s="279"/>
      <c r="G7" s="279"/>
      <c r="H7" s="279"/>
    </row>
    <row r="8" spans="1:8" ht="15" customHeight="1">
      <c r="A8" s="279" t="s">
        <v>75</v>
      </c>
      <c r="B8" s="279"/>
      <c r="C8" s="279"/>
      <c r="D8" s="279"/>
      <c r="E8" s="279"/>
      <c r="F8" s="279"/>
      <c r="G8" s="279"/>
      <c r="H8" s="279"/>
    </row>
    <row r="9" spans="1:8" ht="15" customHeight="1">
      <c r="A9" s="279" t="s">
        <v>76</v>
      </c>
      <c r="B9" s="279"/>
      <c r="C9" s="279"/>
      <c r="D9" s="279"/>
      <c r="E9" s="279"/>
      <c r="F9" s="279"/>
      <c r="G9" s="279"/>
      <c r="H9" s="279"/>
    </row>
    <row r="10" spans="1:8" ht="15" customHeight="1">
      <c r="A10" s="279" t="s">
        <v>77</v>
      </c>
      <c r="B10" s="279"/>
      <c r="C10" s="279"/>
      <c r="D10" s="279"/>
      <c r="E10" s="279"/>
      <c r="F10" s="279"/>
      <c r="G10" s="279"/>
      <c r="H10" s="279"/>
    </row>
    <row r="11" ht="15">
      <c r="D11" s="13" t="s">
        <v>78</v>
      </c>
    </row>
    <row r="12" spans="1:8" ht="15">
      <c r="A12" s="14" t="s">
        <v>79</v>
      </c>
      <c r="B12" s="14"/>
      <c r="C12" s="14"/>
      <c r="D12" s="14"/>
      <c r="E12" s="14"/>
      <c r="F12" s="14"/>
      <c r="G12" s="14"/>
      <c r="H12" s="14"/>
    </row>
    <row r="13" ht="15">
      <c r="D13" s="15"/>
    </row>
    <row r="14" spans="1:8" ht="15" customHeight="1">
      <c r="A14" s="279" t="s">
        <v>155</v>
      </c>
      <c r="B14" s="279"/>
      <c r="C14" s="279"/>
      <c r="D14" s="279"/>
      <c r="E14" s="279"/>
      <c r="F14" s="279"/>
      <c r="G14" s="279"/>
      <c r="H14" s="279"/>
    </row>
    <row r="15" spans="1:8" ht="15" customHeight="1">
      <c r="A15" s="279" t="s">
        <v>165</v>
      </c>
      <c r="B15" s="279"/>
      <c r="C15" s="279"/>
      <c r="D15" s="279"/>
      <c r="E15" s="279"/>
      <c r="F15" s="279"/>
      <c r="G15" s="279"/>
      <c r="H15" s="279"/>
    </row>
    <row r="16" spans="1:9" ht="15.75">
      <c r="A16" s="275" t="s">
        <v>175</v>
      </c>
      <c r="B16" s="275"/>
      <c r="C16" s="275"/>
      <c r="D16" s="275"/>
      <c r="E16" s="275"/>
      <c r="F16" s="275"/>
      <c r="G16" s="275"/>
      <c r="H16" s="275"/>
      <c r="I16" s="7"/>
    </row>
    <row r="17" spans="1:9" ht="15.75">
      <c r="A17" s="275"/>
      <c r="B17" s="275"/>
      <c r="C17" s="275"/>
      <c r="D17" s="275"/>
      <c r="E17" s="275"/>
      <c r="F17" s="275"/>
      <c r="G17" s="275"/>
      <c r="H17" s="275"/>
      <c r="I17" s="7"/>
    </row>
    <row r="18" spans="1:9" ht="15.75">
      <c r="A18" s="276" t="s">
        <v>166</v>
      </c>
      <c r="B18" s="276"/>
      <c r="C18" s="276"/>
      <c r="D18" s="276"/>
      <c r="E18" s="276"/>
      <c r="F18" s="276"/>
      <c r="G18" s="276"/>
      <c r="H18" s="276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1:9" ht="15.75">
      <c r="A20" s="8"/>
      <c r="B20" s="277" t="s">
        <v>53</v>
      </c>
      <c r="C20" s="277"/>
      <c r="D20" s="277"/>
      <c r="E20" s="9">
        <v>1763100</v>
      </c>
      <c r="F20" s="7"/>
      <c r="G20" s="8"/>
      <c r="H20" s="8"/>
      <c r="I20" s="8"/>
    </row>
    <row r="21" spans="1:10" ht="15.75">
      <c r="A21" s="8"/>
      <c r="B21" s="276"/>
      <c r="C21" s="276"/>
      <c r="D21" s="276"/>
      <c r="E21" s="276"/>
      <c r="F21" s="276"/>
      <c r="G21" s="8"/>
      <c r="H21" s="8"/>
      <c r="I21" s="8"/>
      <c r="J21" s="11"/>
    </row>
    <row r="22" spans="1:9" ht="15.75">
      <c r="A22" s="8"/>
      <c r="B22" s="276" t="s">
        <v>54</v>
      </c>
      <c r="C22" s="276"/>
      <c r="D22" s="276"/>
      <c r="E22" s="9">
        <v>1763100</v>
      </c>
      <c r="F22" s="7"/>
      <c r="G22" s="8"/>
      <c r="H22" s="8"/>
      <c r="I22" s="8"/>
    </row>
    <row r="23" spans="1:9" ht="15.75">
      <c r="A23" s="8"/>
      <c r="B23" s="8"/>
      <c r="C23" s="8"/>
      <c r="D23" s="8"/>
      <c r="E23" s="8"/>
      <c r="F23" s="8"/>
      <c r="G23" s="8"/>
      <c r="H23" s="8"/>
      <c r="I23" s="8"/>
    </row>
    <row r="24" spans="1:9" ht="15.75">
      <c r="A24" s="7" t="s">
        <v>169</v>
      </c>
      <c r="B24" s="7"/>
      <c r="C24" s="7"/>
      <c r="D24" s="7"/>
      <c r="E24" s="7"/>
      <c r="F24" s="7"/>
      <c r="G24" s="7"/>
      <c r="H24" s="29"/>
      <c r="I24" s="29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1:9" ht="15.75">
      <c r="A26" s="276" t="s">
        <v>167</v>
      </c>
      <c r="B26" s="276"/>
      <c r="C26" s="276"/>
      <c r="D26" s="276"/>
      <c r="E26" s="276"/>
      <c r="F26" s="276"/>
      <c r="G26" s="276"/>
      <c r="H26" s="276"/>
      <c r="I26" s="8"/>
    </row>
    <row r="27" spans="1:9" ht="15.75">
      <c r="A27" s="276" t="s">
        <v>55</v>
      </c>
      <c r="B27" s="276"/>
      <c r="C27" s="276"/>
      <c r="D27" s="276"/>
      <c r="E27" s="276"/>
      <c r="F27" s="276"/>
      <c r="G27" s="276"/>
      <c r="H27" s="276"/>
      <c r="I27" s="8"/>
    </row>
    <row r="28" spans="1:9" ht="15.75">
      <c r="A28" s="276" t="s">
        <v>56</v>
      </c>
      <c r="B28" s="276"/>
      <c r="C28" s="276"/>
      <c r="D28" s="276"/>
      <c r="E28" s="276"/>
      <c r="F28" s="276"/>
      <c r="G28" s="276"/>
      <c r="H28" s="276"/>
      <c r="I28" s="8"/>
    </row>
    <row r="29" spans="1:9" ht="15.75">
      <c r="A29" s="276" t="s">
        <v>57</v>
      </c>
      <c r="B29" s="276"/>
      <c r="C29" s="276"/>
      <c r="D29" s="276"/>
      <c r="E29" s="276"/>
      <c r="F29" s="276"/>
      <c r="G29" s="276"/>
      <c r="H29" s="276"/>
      <c r="I29" s="8"/>
    </row>
    <row r="30" spans="1:9" ht="15.75">
      <c r="A30" s="276"/>
      <c r="B30" s="276"/>
      <c r="C30" s="276"/>
      <c r="D30" s="276"/>
      <c r="E30" s="276"/>
      <c r="F30" s="276"/>
      <c r="G30" s="276"/>
      <c r="H30" s="276"/>
      <c r="I30" s="8"/>
    </row>
    <row r="31" spans="1:9" ht="15.75">
      <c r="A31" s="8"/>
      <c r="B31" s="276" t="s">
        <v>58</v>
      </c>
      <c r="C31" s="276"/>
      <c r="D31" s="276"/>
      <c r="E31" s="8"/>
      <c r="F31" s="8"/>
      <c r="G31" s="8"/>
      <c r="H31" s="8"/>
      <c r="I31" s="8"/>
    </row>
    <row r="32" spans="1:9" ht="15.75">
      <c r="A32" s="8"/>
      <c r="B32" s="276" t="s">
        <v>127</v>
      </c>
      <c r="C32" s="276"/>
      <c r="D32" s="276"/>
      <c r="E32" s="276"/>
      <c r="F32" s="8"/>
      <c r="G32" s="8"/>
      <c r="H32" s="8"/>
      <c r="I32" s="8"/>
    </row>
    <row r="33" spans="1:9" ht="15.75">
      <c r="A33" s="8"/>
      <c r="B33" s="7" t="s">
        <v>66</v>
      </c>
      <c r="C33" s="7"/>
      <c r="D33" s="7"/>
      <c r="E33" s="8"/>
      <c r="F33" s="8"/>
      <c r="G33" s="8"/>
      <c r="H33" s="8"/>
      <c r="I33" s="8"/>
    </row>
    <row r="34" spans="1:9" ht="15.75">
      <c r="A34" s="276" t="s">
        <v>59</v>
      </c>
      <c r="B34" s="276"/>
      <c r="C34" s="276"/>
      <c r="D34" s="276"/>
      <c r="E34" s="276"/>
      <c r="F34" s="276"/>
      <c r="G34" s="276"/>
      <c r="H34" s="276"/>
      <c r="I34" s="8"/>
    </row>
    <row r="35" spans="1:9" ht="15.75">
      <c r="A35" s="276" t="s">
        <v>168</v>
      </c>
      <c r="B35" s="276"/>
      <c r="C35" s="276"/>
      <c r="D35" s="276"/>
      <c r="E35" s="276"/>
      <c r="F35" s="276"/>
      <c r="G35" s="276"/>
      <c r="H35" s="276"/>
      <c r="I35" s="8"/>
    </row>
    <row r="36" spans="1:9" ht="15.75">
      <c r="A36" s="10" t="s">
        <v>171</v>
      </c>
      <c r="B36" s="10"/>
      <c r="C36" s="10"/>
      <c r="D36" s="10"/>
      <c r="E36" s="10"/>
      <c r="F36" s="10"/>
      <c r="G36" s="10"/>
      <c r="H36" s="10"/>
      <c r="I36" s="8"/>
    </row>
    <row r="37" spans="1:9" ht="15.75">
      <c r="A37" s="276" t="s">
        <v>170</v>
      </c>
      <c r="B37" s="276"/>
      <c r="C37" s="276"/>
      <c r="D37" s="276"/>
      <c r="E37" s="276"/>
      <c r="F37" s="276"/>
      <c r="G37" s="276"/>
      <c r="H37" s="276"/>
      <c r="I37" s="8"/>
    </row>
    <row r="38" spans="1:9" ht="15.75">
      <c r="A38" s="276" t="s">
        <v>67</v>
      </c>
      <c r="B38" s="276"/>
      <c r="C38" s="276"/>
      <c r="D38" s="276"/>
      <c r="E38" s="276"/>
      <c r="F38" s="276"/>
      <c r="G38" s="276"/>
      <c r="H38" s="276"/>
      <c r="I38" s="8"/>
    </row>
    <row r="39" spans="1:9" ht="15.75">
      <c r="A39" s="276"/>
      <c r="B39" s="276"/>
      <c r="C39" s="276"/>
      <c r="D39" s="276"/>
      <c r="E39" s="276"/>
      <c r="F39" s="276"/>
      <c r="G39" s="276"/>
      <c r="H39" s="276"/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  <row r="41" spans="1:9" ht="15.75">
      <c r="A41" s="8"/>
      <c r="B41" s="8"/>
      <c r="C41" s="8"/>
      <c r="D41" s="8"/>
      <c r="E41" s="8"/>
      <c r="F41" s="8"/>
      <c r="G41" s="8"/>
      <c r="H41" s="8"/>
      <c r="I41" s="8"/>
    </row>
    <row r="42" spans="1:9" ht="15.75">
      <c r="A42" s="276" t="s">
        <v>60</v>
      </c>
      <c r="B42" s="276"/>
      <c r="C42" s="276"/>
      <c r="D42" s="8"/>
      <c r="E42" s="8"/>
      <c r="F42" s="276" t="s">
        <v>64</v>
      </c>
      <c r="G42" s="276"/>
      <c r="H42" s="8"/>
      <c r="I42" s="8"/>
    </row>
    <row r="43" spans="1:9" ht="15.75">
      <c r="A43" s="276"/>
      <c r="B43" s="276"/>
      <c r="C43" s="276"/>
      <c r="D43" s="8"/>
      <c r="E43" s="8"/>
      <c r="F43" s="276"/>
      <c r="G43" s="276"/>
      <c r="H43" s="8"/>
      <c r="I43" s="8"/>
    </row>
    <row r="44" spans="1:9" ht="15.75">
      <c r="A44" s="276" t="s">
        <v>61</v>
      </c>
      <c r="B44" s="276"/>
      <c r="C44" s="276"/>
      <c r="D44" s="8"/>
      <c r="E44" s="8"/>
      <c r="F44" s="276" t="s">
        <v>145</v>
      </c>
      <c r="G44" s="276"/>
      <c r="H44" s="8"/>
      <c r="I44" s="8"/>
    </row>
    <row r="45" spans="1:9" ht="15.75">
      <c r="A45" s="8"/>
      <c r="B45" s="8"/>
      <c r="C45" s="8"/>
      <c r="D45" s="8"/>
      <c r="E45" s="8"/>
      <c r="F45" s="8"/>
      <c r="G45" s="8"/>
      <c r="H45" s="8"/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8"/>
      <c r="B47" s="8"/>
      <c r="C47" s="8"/>
      <c r="D47" s="8"/>
      <c r="E47" s="8"/>
      <c r="F47" s="8"/>
      <c r="G47" s="8"/>
      <c r="H47" s="8"/>
      <c r="I47" s="8"/>
    </row>
    <row r="48" spans="1:9" ht="15.75">
      <c r="A48" s="8"/>
      <c r="B48" s="8"/>
      <c r="C48" s="8"/>
      <c r="D48" s="8"/>
      <c r="E48" s="8"/>
      <c r="F48" s="8"/>
      <c r="G48" s="8"/>
      <c r="H48" s="8"/>
      <c r="I48" s="8"/>
    </row>
    <row r="49" spans="1:9" ht="15.75">
      <c r="A49" s="8"/>
      <c r="B49" s="8"/>
      <c r="C49" s="8"/>
      <c r="D49" s="8"/>
      <c r="E49" s="8"/>
      <c r="F49" s="8"/>
      <c r="G49" s="8"/>
      <c r="H49" s="8"/>
      <c r="I49" s="8"/>
    </row>
    <row r="50" spans="1:9" ht="15.75">
      <c r="A50" s="8"/>
      <c r="B50" s="8"/>
      <c r="C50" s="8"/>
      <c r="D50" s="8"/>
      <c r="E50" s="8"/>
      <c r="F50" s="8"/>
      <c r="G50" s="8"/>
      <c r="H50" s="8"/>
      <c r="I50" s="8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1:9" ht="15.75">
      <c r="A56" s="8"/>
      <c r="B56" s="8"/>
      <c r="C56" s="8"/>
      <c r="D56" s="8"/>
      <c r="E56" s="8"/>
      <c r="F56" s="8"/>
      <c r="G56" s="8"/>
      <c r="H56" s="8"/>
      <c r="I56" s="8"/>
    </row>
    <row r="57" spans="1:9" ht="15.75">
      <c r="A57" s="8"/>
      <c r="B57" s="8"/>
      <c r="C57" s="8"/>
      <c r="D57" s="8"/>
      <c r="E57" s="8"/>
      <c r="F57" s="8"/>
      <c r="G57" s="8"/>
      <c r="H57" s="8"/>
      <c r="I57" s="8"/>
    </row>
    <row r="58" spans="1:9" ht="15.75">
      <c r="A58" s="8"/>
      <c r="B58" s="8"/>
      <c r="C58" s="8"/>
      <c r="D58" s="8"/>
      <c r="E58" s="8"/>
      <c r="F58" s="8"/>
      <c r="G58" s="8"/>
      <c r="H58" s="8"/>
      <c r="I58" s="8"/>
    </row>
    <row r="59" spans="1:9" ht="15.75">
      <c r="A59" s="8"/>
      <c r="B59" s="8"/>
      <c r="C59" s="8"/>
      <c r="D59" s="8"/>
      <c r="E59" s="8"/>
      <c r="F59" s="8"/>
      <c r="G59" s="8"/>
      <c r="H59" s="8"/>
      <c r="I59" s="8"/>
    </row>
  </sheetData>
  <sheetProtection/>
  <mergeCells count="31">
    <mergeCell ref="B22:D22"/>
    <mergeCell ref="B21:F21"/>
    <mergeCell ref="A37:H37"/>
    <mergeCell ref="A28:H28"/>
    <mergeCell ref="A34:H34"/>
    <mergeCell ref="A35:H35"/>
    <mergeCell ref="A43:C43"/>
    <mergeCell ref="A29:H29"/>
    <mergeCell ref="A26:H26"/>
    <mergeCell ref="A30:H30"/>
    <mergeCell ref="F43:G43"/>
    <mergeCell ref="A42:C42"/>
    <mergeCell ref="F42:G42"/>
    <mergeCell ref="D1:E6"/>
    <mergeCell ref="A7:H7"/>
    <mergeCell ref="A8:H8"/>
    <mergeCell ref="A9:H9"/>
    <mergeCell ref="A10:H10"/>
    <mergeCell ref="A16:H16"/>
    <mergeCell ref="A14:H14"/>
    <mergeCell ref="A15:H15"/>
    <mergeCell ref="A17:H17"/>
    <mergeCell ref="A18:H18"/>
    <mergeCell ref="B20:D20"/>
    <mergeCell ref="A27:H27"/>
    <mergeCell ref="A44:C44"/>
    <mergeCell ref="F44:G44"/>
    <mergeCell ref="A39:H39"/>
    <mergeCell ref="B31:D31"/>
    <mergeCell ref="B32:E32"/>
    <mergeCell ref="A38:H38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6">
      <selection activeCell="A18" sqref="A18"/>
    </sheetView>
  </sheetViews>
  <sheetFormatPr defaultColWidth="9.140625" defaultRowHeight="15"/>
  <cols>
    <col min="4" max="4" width="13.421875" style="0" customWidth="1"/>
    <col min="5" max="5" width="12.28125" style="0" customWidth="1"/>
    <col min="6" max="6" width="11.28125" style="0" customWidth="1"/>
    <col min="7" max="7" width="8.28125" style="0" customWidth="1"/>
    <col min="8" max="8" width="13.57421875" style="0" customWidth="1"/>
  </cols>
  <sheetData>
    <row r="1" spans="4:5" ht="15">
      <c r="D1" s="278"/>
      <c r="E1" s="278"/>
    </row>
    <row r="2" spans="4:5" ht="15">
      <c r="D2" s="278"/>
      <c r="E2" s="278"/>
    </row>
    <row r="3" spans="4:5" ht="15">
      <c r="D3" s="278"/>
      <c r="E3" s="278"/>
    </row>
    <row r="4" spans="4:5" ht="15">
      <c r="D4" s="278"/>
      <c r="E4" s="278"/>
    </row>
    <row r="5" spans="4:5" ht="15">
      <c r="D5" s="278"/>
      <c r="E5" s="278"/>
    </row>
    <row r="6" spans="4:5" ht="15">
      <c r="D6" s="278"/>
      <c r="E6" s="278"/>
    </row>
    <row r="7" spans="1:8" ht="18.75">
      <c r="A7" s="279" t="s">
        <v>74</v>
      </c>
      <c r="B7" s="279"/>
      <c r="C7" s="279"/>
      <c r="D7" s="279"/>
      <c r="E7" s="279"/>
      <c r="F7" s="279"/>
      <c r="G7" s="279"/>
      <c r="H7" s="279"/>
    </row>
    <row r="8" spans="1:8" ht="18.75">
      <c r="A8" s="279" t="s">
        <v>75</v>
      </c>
      <c r="B8" s="279"/>
      <c r="C8" s="279"/>
      <c r="D8" s="279"/>
      <c r="E8" s="279"/>
      <c r="F8" s="279"/>
      <c r="G8" s="279"/>
      <c r="H8" s="279"/>
    </row>
    <row r="9" spans="1:8" ht="18.75">
      <c r="A9" s="279" t="s">
        <v>76</v>
      </c>
      <c r="B9" s="279"/>
      <c r="C9" s="279"/>
      <c r="D9" s="279"/>
      <c r="E9" s="279"/>
      <c r="F9" s="279"/>
      <c r="G9" s="279"/>
      <c r="H9" s="279"/>
    </row>
    <row r="10" spans="1:8" ht="18.75">
      <c r="A10" s="279" t="s">
        <v>77</v>
      </c>
      <c r="B10" s="279"/>
      <c r="C10" s="279"/>
      <c r="D10" s="279"/>
      <c r="E10" s="279"/>
      <c r="F10" s="279"/>
      <c r="G10" s="279"/>
      <c r="H10" s="279"/>
    </row>
    <row r="11" ht="15">
      <c r="D11" s="13" t="s">
        <v>78</v>
      </c>
    </row>
    <row r="12" spans="1:8" ht="15">
      <c r="A12" s="14" t="s">
        <v>79</v>
      </c>
      <c r="B12" s="14"/>
      <c r="C12" s="14"/>
      <c r="D12" s="14"/>
      <c r="E12" s="14"/>
      <c r="F12" s="14"/>
      <c r="G12" s="14"/>
      <c r="H12" s="14"/>
    </row>
    <row r="13" ht="15">
      <c r="D13" s="15"/>
    </row>
    <row r="14" spans="1:8" ht="18.75">
      <c r="A14" s="279" t="s">
        <v>148</v>
      </c>
      <c r="B14" s="279"/>
      <c r="C14" s="279"/>
      <c r="D14" s="279"/>
      <c r="E14" s="279"/>
      <c r="F14" s="279"/>
      <c r="G14" s="279"/>
      <c r="H14" s="279"/>
    </row>
    <row r="15" spans="1:9" ht="18.75">
      <c r="A15" s="279" t="s">
        <v>165</v>
      </c>
      <c r="B15" s="279"/>
      <c r="C15" s="279"/>
      <c r="D15" s="279"/>
      <c r="E15" s="279"/>
      <c r="F15" s="279"/>
      <c r="G15" s="279"/>
      <c r="H15" s="279"/>
      <c r="I15" s="6"/>
    </row>
    <row r="16" spans="1:9" ht="15.75">
      <c r="A16" s="275"/>
      <c r="B16" s="275"/>
      <c r="C16" s="275"/>
      <c r="D16" s="275"/>
      <c r="E16" s="275"/>
      <c r="F16" s="275"/>
      <c r="G16" s="275"/>
      <c r="H16" s="275"/>
      <c r="I16" s="7"/>
    </row>
    <row r="17" spans="1:9" ht="15.75">
      <c r="A17" s="160" t="s">
        <v>191</v>
      </c>
      <c r="B17" s="160"/>
      <c r="C17" s="160"/>
      <c r="D17" s="160"/>
      <c r="E17" s="160"/>
      <c r="F17" s="160"/>
      <c r="G17" s="160"/>
      <c r="H17" s="160"/>
      <c r="I17" s="7"/>
    </row>
    <row r="18" spans="1:9" ht="15.75">
      <c r="A18" s="7"/>
      <c r="B18" s="7"/>
      <c r="C18" s="7"/>
      <c r="D18" s="7"/>
      <c r="E18" s="7"/>
      <c r="F18" s="7"/>
      <c r="G18" s="7"/>
      <c r="H18" s="7"/>
      <c r="I18" s="7"/>
    </row>
    <row r="19" spans="1:9" ht="15.75">
      <c r="A19" s="10" t="s">
        <v>62</v>
      </c>
      <c r="B19" s="10"/>
      <c r="C19" s="10"/>
      <c r="D19" s="10"/>
      <c r="E19" s="10"/>
      <c r="F19" s="10"/>
      <c r="G19" s="10"/>
      <c r="H19" s="10"/>
      <c r="I19" s="8"/>
    </row>
    <row r="20" spans="1:9" ht="15.75">
      <c r="A20" s="276" t="s">
        <v>190</v>
      </c>
      <c r="B20" s="276"/>
      <c r="C20" s="276"/>
      <c r="D20" s="276"/>
      <c r="E20" s="276"/>
      <c r="F20" s="276"/>
      <c r="G20" s="276"/>
      <c r="H20" s="276"/>
      <c r="I20" s="8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8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8"/>
    </row>
    <row r="23" spans="1:9" ht="31.5">
      <c r="A23" s="280" t="s">
        <v>41</v>
      </c>
      <c r="B23" s="281"/>
      <c r="C23" s="282"/>
      <c r="D23" s="19" t="s">
        <v>25</v>
      </c>
      <c r="E23" s="26" t="s">
        <v>123</v>
      </c>
      <c r="F23" s="19" t="s">
        <v>122</v>
      </c>
      <c r="G23" s="10"/>
      <c r="H23" s="10"/>
      <c r="I23" s="8"/>
    </row>
    <row r="24" spans="1:9" ht="15.75">
      <c r="A24" s="283" t="s">
        <v>88</v>
      </c>
      <c r="B24" s="284"/>
      <c r="C24" s="285"/>
      <c r="D24" s="20">
        <f>Рассходы!H13</f>
        <v>751199.6656</v>
      </c>
      <c r="E24" s="28">
        <v>486</v>
      </c>
      <c r="F24" s="21">
        <f aca="true" t="shared" si="0" ref="F24:F29">D24/E24</f>
        <v>1545.6783242798354</v>
      </c>
      <c r="G24" s="10"/>
      <c r="H24" s="10"/>
      <c r="I24" s="8"/>
    </row>
    <row r="25" spans="1:9" ht="15.75">
      <c r="A25" s="283" t="s">
        <v>89</v>
      </c>
      <c r="B25" s="284"/>
      <c r="C25" s="285"/>
      <c r="D25" s="20">
        <f>Рассходы!H19</f>
        <v>321006.649524</v>
      </c>
      <c r="E25" s="30">
        <v>486</v>
      </c>
      <c r="F25" s="21">
        <f t="shared" si="0"/>
        <v>660.5075093086419</v>
      </c>
      <c r="G25" s="10"/>
      <c r="H25" s="10"/>
      <c r="I25" s="8"/>
    </row>
    <row r="26" spans="1:9" ht="15.75">
      <c r="A26" s="283" t="s">
        <v>90</v>
      </c>
      <c r="B26" s="284"/>
      <c r="C26" s="285"/>
      <c r="D26" s="20">
        <f>Рассходы!H25</f>
        <v>370904.128</v>
      </c>
      <c r="E26" s="30">
        <v>486</v>
      </c>
      <c r="F26" s="21">
        <f t="shared" si="0"/>
        <v>763.177218106996</v>
      </c>
      <c r="G26" s="10"/>
      <c r="H26" s="10"/>
      <c r="I26" s="8"/>
    </row>
    <row r="27" spans="1:9" ht="15.75">
      <c r="A27" s="283" t="s">
        <v>91</v>
      </c>
      <c r="B27" s="284"/>
      <c r="C27" s="285"/>
      <c r="D27" s="20">
        <f>Рассходы!H27</f>
        <v>10000</v>
      </c>
      <c r="E27" s="30">
        <v>486</v>
      </c>
      <c r="F27" s="21">
        <f t="shared" si="0"/>
        <v>20.5761316872428</v>
      </c>
      <c r="G27" s="10"/>
      <c r="H27" s="10"/>
      <c r="I27" s="8"/>
    </row>
    <row r="28" spans="1:9" ht="15.75">
      <c r="A28" s="283" t="s">
        <v>92</v>
      </c>
      <c r="B28" s="284"/>
      <c r="C28" s="285"/>
      <c r="D28" s="20">
        <f>Рассходы!H33</f>
        <v>239989.7776352</v>
      </c>
      <c r="E28" s="30">
        <v>486</v>
      </c>
      <c r="F28" s="21">
        <f t="shared" si="0"/>
        <v>493.8061268213992</v>
      </c>
      <c r="G28" s="10"/>
      <c r="H28" s="10"/>
      <c r="I28" s="8"/>
    </row>
    <row r="29" spans="1:9" ht="15.75">
      <c r="A29" s="283" t="s">
        <v>93</v>
      </c>
      <c r="B29" s="284"/>
      <c r="C29" s="285"/>
      <c r="D29" s="20">
        <f>Рассходы!H39</f>
        <v>70000</v>
      </c>
      <c r="E29" s="30">
        <v>486</v>
      </c>
      <c r="F29" s="21">
        <f t="shared" si="0"/>
        <v>144.03292181069958</v>
      </c>
      <c r="G29" s="10"/>
      <c r="H29" s="10"/>
      <c r="I29" s="8"/>
    </row>
    <row r="30" spans="1:9" s="17" customFormat="1" ht="15.75">
      <c r="A30" s="286" t="s">
        <v>112</v>
      </c>
      <c r="B30" s="287"/>
      <c r="C30" s="288"/>
      <c r="D30" s="25">
        <f>SUM(D24:D29)</f>
        <v>1763100.2207592</v>
      </c>
      <c r="E30" s="31">
        <v>486</v>
      </c>
      <c r="F30" s="25">
        <f>SUM(F24:F29)</f>
        <v>3627.7782320148144</v>
      </c>
      <c r="G30" s="22"/>
      <c r="H30" s="22"/>
      <c r="I30" s="12"/>
    </row>
    <row r="31" spans="1:9" ht="15.75">
      <c r="A31" s="276"/>
      <c r="B31" s="276"/>
      <c r="C31" s="276"/>
      <c r="D31" s="276"/>
      <c r="E31" s="276"/>
      <c r="F31" s="276"/>
      <c r="G31" s="276"/>
      <c r="H31" s="276"/>
      <c r="I31" s="8"/>
    </row>
    <row r="32" spans="1:9" ht="15.75">
      <c r="A32" s="7"/>
      <c r="B32" s="276"/>
      <c r="C32" s="276"/>
      <c r="D32" s="276"/>
      <c r="E32" s="7"/>
      <c r="F32" s="7"/>
      <c r="G32" s="7"/>
      <c r="H32" s="8"/>
      <c r="I32" s="8"/>
    </row>
    <row r="33" spans="1:9" ht="15.75">
      <c r="A33" s="7"/>
      <c r="B33" s="276"/>
      <c r="C33" s="276"/>
      <c r="D33" s="276"/>
      <c r="E33" s="7"/>
      <c r="F33" s="7"/>
      <c r="G33" s="7"/>
      <c r="H33" s="7"/>
      <c r="I33" s="8"/>
    </row>
    <row r="34" spans="1:9" ht="15.75">
      <c r="A34" s="7"/>
      <c r="B34" s="276"/>
      <c r="C34" s="276"/>
      <c r="D34" s="276"/>
      <c r="E34" s="10"/>
      <c r="F34" s="10"/>
      <c r="G34" s="10"/>
      <c r="H34" s="8"/>
      <c r="I34" s="8"/>
    </row>
    <row r="35" spans="1:9" ht="15.75">
      <c r="A35" s="7"/>
      <c r="B35" s="276"/>
      <c r="C35" s="276"/>
      <c r="D35" s="276"/>
      <c r="E35" s="7"/>
      <c r="F35" s="7"/>
      <c r="G35" s="7"/>
      <c r="H35" s="7"/>
      <c r="I35" s="8"/>
    </row>
    <row r="36" spans="8:9" ht="15.75"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276" t="s">
        <v>60</v>
      </c>
      <c r="B38" s="276"/>
      <c r="C38" s="276"/>
      <c r="D38" s="8"/>
      <c r="E38" s="8"/>
      <c r="F38" s="276" t="s">
        <v>64</v>
      </c>
      <c r="G38" s="276"/>
      <c r="H38" s="8"/>
      <c r="I38" s="8"/>
    </row>
    <row r="39" spans="1:9" ht="15.75">
      <c r="A39" s="276"/>
      <c r="B39" s="276"/>
      <c r="C39" s="276"/>
      <c r="D39" s="8"/>
      <c r="E39" s="8"/>
      <c r="F39" s="276"/>
      <c r="G39" s="276"/>
      <c r="H39" s="8"/>
      <c r="I39" s="8"/>
    </row>
    <row r="40" spans="1:9" ht="15.75">
      <c r="A40" s="276" t="s">
        <v>61</v>
      </c>
      <c r="B40" s="276"/>
      <c r="C40" s="276"/>
      <c r="D40" s="8"/>
      <c r="E40" s="8"/>
      <c r="F40" s="276" t="s">
        <v>145</v>
      </c>
      <c r="G40" s="276"/>
      <c r="H40" s="8"/>
      <c r="I40" s="8"/>
    </row>
    <row r="41" spans="1:9" ht="15.75">
      <c r="A41" s="8"/>
      <c r="B41" s="8"/>
      <c r="C41" s="8"/>
      <c r="D41" s="8"/>
      <c r="E41" s="8"/>
      <c r="F41" s="8"/>
      <c r="G41" s="8"/>
      <c r="H41" s="8"/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9" ht="15.75">
      <c r="A43" s="8"/>
      <c r="B43" s="8"/>
      <c r="C43" s="8"/>
      <c r="D43" s="8"/>
      <c r="E43" s="8"/>
      <c r="F43" s="8"/>
      <c r="G43" s="8"/>
      <c r="H43" s="8"/>
      <c r="I43" s="8"/>
    </row>
    <row r="44" spans="1:9" ht="15.75">
      <c r="A44" s="8"/>
      <c r="B44" s="8"/>
      <c r="C44" s="8"/>
      <c r="D44" s="8"/>
      <c r="E44" s="8"/>
      <c r="F44" s="8"/>
      <c r="G44" s="8"/>
      <c r="H44" s="8"/>
      <c r="I44" s="8"/>
    </row>
    <row r="45" spans="1:9" ht="15.75">
      <c r="A45" s="8"/>
      <c r="B45" s="8"/>
      <c r="C45" s="8"/>
      <c r="D45" s="8"/>
      <c r="E45" s="8"/>
      <c r="F45" s="8"/>
      <c r="G45" s="8"/>
      <c r="H45" s="8"/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8"/>
      <c r="B47" s="8"/>
      <c r="C47" s="8"/>
      <c r="D47" s="8"/>
      <c r="E47" s="8"/>
      <c r="F47" s="8"/>
      <c r="G47" s="8"/>
      <c r="H47" s="8"/>
      <c r="I47" s="8"/>
    </row>
    <row r="48" spans="1:9" ht="15.75">
      <c r="A48" s="8"/>
      <c r="B48" s="8"/>
      <c r="C48" s="8"/>
      <c r="D48" s="8"/>
      <c r="E48" s="8"/>
      <c r="F48" s="8"/>
      <c r="G48" s="8"/>
      <c r="H48" s="8"/>
      <c r="I48" s="8"/>
    </row>
    <row r="49" spans="1:9" ht="15.75">
      <c r="A49" s="8"/>
      <c r="B49" s="8"/>
      <c r="C49" s="8"/>
      <c r="D49" s="8"/>
      <c r="E49" s="8"/>
      <c r="F49" s="8"/>
      <c r="G49" s="8"/>
      <c r="H49" s="8"/>
      <c r="I49" s="8"/>
    </row>
    <row r="50" spans="1:9" ht="15.75">
      <c r="A50" s="8"/>
      <c r="B50" s="8"/>
      <c r="C50" s="8"/>
      <c r="D50" s="8"/>
      <c r="E50" s="8"/>
      <c r="F50" s="8"/>
      <c r="G50" s="8"/>
      <c r="H50" s="8"/>
      <c r="I50" s="8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</sheetData>
  <sheetProtection/>
  <mergeCells count="29">
    <mergeCell ref="F39:G39"/>
    <mergeCell ref="B33:D33"/>
    <mergeCell ref="A27:C27"/>
    <mergeCell ref="A28:C28"/>
    <mergeCell ref="A29:C29"/>
    <mergeCell ref="B32:D32"/>
    <mergeCell ref="B34:D34"/>
    <mergeCell ref="B35:D35"/>
    <mergeCell ref="A30:C30"/>
    <mergeCell ref="A9:H9"/>
    <mergeCell ref="A40:C40"/>
    <mergeCell ref="F40:G40"/>
    <mergeCell ref="A38:C38"/>
    <mergeCell ref="F38:G38"/>
    <mergeCell ref="A16:H16"/>
    <mergeCell ref="A39:C39"/>
    <mergeCell ref="A24:C24"/>
    <mergeCell ref="A25:C25"/>
    <mergeCell ref="A26:C26"/>
    <mergeCell ref="D1:E6"/>
    <mergeCell ref="A15:H15"/>
    <mergeCell ref="A31:H31"/>
    <mergeCell ref="A10:H10"/>
    <mergeCell ref="A17:H17"/>
    <mergeCell ref="A7:H7"/>
    <mergeCell ref="A14:H14"/>
    <mergeCell ref="A8:H8"/>
    <mergeCell ref="A20:H20"/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2013-01-18T09:41:35Z</cp:lastPrinted>
  <dcterms:created xsi:type="dcterms:W3CDTF">2006-09-28T05:33:49Z</dcterms:created>
  <dcterms:modified xsi:type="dcterms:W3CDTF">2018-01-25T06:01:52Z</dcterms:modified>
  <cp:category/>
  <cp:version/>
  <cp:contentType/>
  <cp:contentStatus/>
</cp:coreProperties>
</file>