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0" windowWidth="28305" windowHeight="6060" activeTab="2"/>
  </bookViews>
  <sheets>
    <sheet name="Управление ФЭИ" sheetId="1" r:id="rId1"/>
    <sheet name="ДОХОДЫ РАСХОДЫ ИСТОЧНИКИ" sheetId="2" r:id="rId2"/>
    <sheet name="РАСХОДЫ ПРОГРАММЫ" sheetId="3" r:id="rId3"/>
    <sheet name="Прогноз соц-эконом развития" sheetId="4" r:id="rId4"/>
    <sheet name="Прил. №1 к прогнозу" sheetId="5" r:id="rId5"/>
    <sheet name="Прил. №2 к прогнозу" sheetId="6" r:id="rId6"/>
    <sheet name="Прил. №3 к прогнозу" sheetId="7" r:id="rId7"/>
    <sheet name="Прил. №4 к прогнозу" sheetId="8" r:id="rId8"/>
  </sheets>
  <definedNames>
    <definedName name="_xlnm.Print_Area" localSheetId="1">'ДОХОДЫ РАСХОДЫ ИСТОЧНИКИ'!$C$1:$F$125</definedName>
    <definedName name="_xlnm.Print_Area" localSheetId="4">'Прил. №1 к прогнозу'!$A$1:$G$22</definedName>
    <definedName name="_xlnm.Print_Area" localSheetId="3">'Прогноз соц-эконом развития'!$A$1:$O$175</definedName>
  </definedNames>
  <calcPr fullCalcOnLoad="1"/>
</workbook>
</file>

<file path=xl/comments4.xml><?xml version="1.0" encoding="utf-8"?>
<comments xmlns="http://schemas.openxmlformats.org/spreadsheetml/2006/main">
  <authors>
    <author>Автор</author>
  </authors>
  <commentList>
    <comment ref="A13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Добыча полезных ископаемых+производство и распределение теплоэнергии и электроэнергии и воды</t>
        </r>
      </text>
    </comment>
    <comment ref="A14" authorId="0">
      <text>
        <r>
          <rPr>
            <sz val="9"/>
            <rFont val="Tahoma"/>
            <family val="2"/>
          </rPr>
          <t xml:space="preserve">Данные ЭГРЭС + Чукоткоммунхоз + Объем золота * на стоимость 1 грамма </t>
        </r>
      </text>
    </comment>
    <comment ref="C14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добыча полезных ископаемых
производство электроэнергии ЭГРЭС</t>
        </r>
      </text>
    </comment>
    <comment ref="D14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за счет увеличения отгруженных товаров в добыче полезных ископаемых</t>
        </r>
      </text>
    </comment>
    <comment ref="A20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Хлеб, молоко</t>
        </r>
      </text>
    </comment>
    <comment ref="A21" authorId="0">
      <text>
        <r>
          <rPr>
            <b/>
            <sz val="9"/>
            <rFont val="Tahoma"/>
            <family val="2"/>
          </rPr>
          <t>Хлеб и кисломолочка</t>
        </r>
      </text>
    </comment>
    <comment ref="D21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молочные 443,14 т.р.
Хлебобулочные 12 492,11 т.р.</t>
        </r>
      </text>
    </comment>
    <comment ref="E21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кис-мол.прод + хлеб</t>
        </r>
      </text>
    </comment>
    <comment ref="F21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кис-мол.прод + хлеб</t>
        </r>
      </text>
    </comment>
    <comment ref="A34" authorId="0">
      <text>
        <r>
          <rPr>
            <b/>
            <sz val="9"/>
            <rFont val="Tahoma"/>
            <family val="2"/>
          </rPr>
          <t>МУСХП "Возрождение" "Амгуэма" "Пионер"</t>
        </r>
        <r>
          <rPr>
            <sz val="9"/>
            <rFont val="Tahoma"/>
            <family val="2"/>
          </rPr>
          <t xml:space="preserve">
</t>
        </r>
      </text>
    </comment>
    <comment ref="A36" authorId="0">
      <text>
        <r>
          <rPr>
            <b/>
            <sz val="9"/>
            <rFont val="Tahoma"/>
            <family val="2"/>
          </rPr>
          <t>Анкальыт</t>
        </r>
      </text>
    </comment>
    <comment ref="A47" authorId="0">
      <text>
        <r>
          <rPr>
            <b/>
            <sz val="9"/>
            <rFont val="Tahoma"/>
            <family val="2"/>
          </rPr>
          <t xml:space="preserve">Постановление 72-па от 30.11.2012 (Подъезд до с.Амгуэма- 1,142 км и до с.Дорожный - 2,028 км.
</t>
        </r>
        <r>
          <rPr>
            <sz val="9"/>
            <rFont val="Tahoma"/>
            <family val="2"/>
          </rPr>
          <t xml:space="preserve">
</t>
        </r>
      </text>
    </comment>
    <comment ref="A51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Ерчев А.Г., Монолит, Старт, Чукотгеолстрой</t>
        </r>
      </text>
    </comment>
    <comment ref="E51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Ерчев А.Г., Монолит, Старт, Чукотгеолстрой</t>
        </r>
      </text>
    </comment>
    <comment ref="A53" authorId="0">
      <text>
        <r>
          <rPr>
            <b/>
            <sz val="8"/>
            <rFont val="Tahoma"/>
            <family val="2"/>
          </rPr>
          <t xml:space="preserve">Кутынская и Иультинторг - гостиницы, такси, парикмахерские
</t>
        </r>
      </text>
    </comment>
    <comment ref="E57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Ерчев А.Г., Монолит, Старт, Чукотгеолстрой</t>
        </r>
      </text>
    </comment>
    <comment ref="F57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Ерчев А.Г., Монолит, Старт, Чукотгеолстрой</t>
        </r>
      </text>
    </comment>
    <comment ref="A59" authorId="0">
      <text>
        <r>
          <rPr>
            <b/>
            <sz val="8"/>
            <rFont val="Tahoma"/>
            <family val="2"/>
          </rPr>
          <t xml:space="preserve">Кутынская и Иультинторг - гостиницы и такси
</t>
        </r>
      </text>
    </comment>
    <comment ref="A64" authorId="0">
      <text>
        <r>
          <rPr>
            <b/>
            <sz val="9"/>
            <rFont val="Tahoma"/>
            <family val="2"/>
          </rPr>
          <t>Данные берем с таблицы строительство</t>
        </r>
      </text>
    </comment>
    <comment ref="H64" authorId="0">
      <text>
        <r>
          <rPr>
            <b/>
            <sz val="9"/>
            <rFont val="Tahoma"/>
            <family val="2"/>
          </rPr>
          <t>Данные берем с таблицы строительство</t>
        </r>
      </text>
    </comment>
    <comment ref="A65" authorId="0">
      <text>
        <r>
          <rPr>
            <sz val="9"/>
            <rFont val="Tahoma"/>
            <family val="2"/>
          </rPr>
          <t>кис-мол.прод + хлеб</t>
        </r>
      </text>
    </comment>
    <comment ref="E65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кис-мол.прод + хлеб</t>
        </r>
      </text>
    </comment>
    <comment ref="F65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кис-мол.прод + хлеб</t>
        </r>
      </text>
    </comment>
    <comment ref="A67" authorId="0">
      <text>
        <r>
          <rPr>
            <sz val="9"/>
            <rFont val="Tahoma"/>
            <family val="2"/>
          </rPr>
          <t>Данные берем с таблицы Торговля и общ питание</t>
        </r>
      </text>
    </comment>
    <comment ref="H67" authorId="0">
      <text>
        <r>
          <rPr>
            <b/>
            <sz val="9"/>
            <rFont val="Tahoma"/>
            <family val="2"/>
          </rPr>
          <t xml:space="preserve">Индекс оборот розничной торговли  берем с окружного прогноза 
</t>
        </r>
      </text>
    </comment>
    <comment ref="M67" authorId="0">
      <text>
        <r>
          <rPr>
            <b/>
            <sz val="9"/>
            <rFont val="Tahoma"/>
            <family val="2"/>
          </rPr>
          <t xml:space="preserve">Индекс оборот розничной торговли  берем с окружного прогноза 
</t>
        </r>
      </text>
    </comment>
    <comment ref="N67" authorId="0">
      <text>
        <r>
          <rPr>
            <b/>
            <sz val="9"/>
            <rFont val="Tahoma"/>
            <family val="2"/>
          </rPr>
          <t xml:space="preserve">Индекс оборот розничной торговли  берем с окружного прогноза 
</t>
        </r>
      </text>
    </comment>
    <comment ref="O67" authorId="0">
      <text>
        <r>
          <rPr>
            <b/>
            <sz val="9"/>
            <rFont val="Tahoma"/>
            <family val="2"/>
          </rPr>
          <t xml:space="preserve">Индекс оборот розничной торговли  берем с окружного прогноза 
</t>
        </r>
      </text>
    </comment>
    <comment ref="A69" authorId="0">
      <text>
        <r>
          <rPr>
            <sz val="9"/>
            <rFont val="Tahoma"/>
            <family val="2"/>
          </rPr>
          <t>Данные берем с таблицы Платные услуги</t>
        </r>
      </text>
    </comment>
    <comment ref="H69" authorId="0">
      <text>
        <r>
          <rPr>
            <sz val="9"/>
            <rFont val="Tahoma"/>
            <family val="2"/>
          </rPr>
          <t xml:space="preserve">
Данные берем с таблицы Торговля и услуги </t>
        </r>
      </text>
    </comment>
    <comment ref="M69" authorId="0">
      <text>
        <r>
          <rPr>
            <b/>
            <sz val="9"/>
            <rFont val="Tahoma"/>
            <family val="2"/>
          </rPr>
          <t xml:space="preserve">Индекс объем платных услуг населению  берем с окружного прогноза 
</t>
        </r>
      </text>
    </comment>
    <comment ref="N69" authorId="0">
      <text>
        <r>
          <rPr>
            <b/>
            <sz val="9"/>
            <rFont val="Tahoma"/>
            <family val="2"/>
          </rPr>
          <t xml:space="preserve">Индекс объем платных услуг населению  берем с окружного прогноза 
</t>
        </r>
      </text>
    </comment>
    <comment ref="O69" authorId="0">
      <text>
        <r>
          <rPr>
            <b/>
            <sz val="9"/>
            <rFont val="Tahoma"/>
            <family val="2"/>
          </rPr>
          <t xml:space="preserve">Индекс объем платных услуг населению  берем с окружного прогноза 
</t>
        </r>
      </text>
    </comment>
    <comment ref="A70" authorId="0">
      <text>
        <r>
          <rPr>
            <b/>
            <sz val="9"/>
            <rFont val="Tahoma"/>
            <family val="2"/>
          </rPr>
          <t xml:space="preserve">Запрашиваем в Администрации
</t>
        </r>
      </text>
    </comment>
    <comment ref="A71" authorId="0">
      <text>
        <r>
          <rPr>
            <sz val="9"/>
            <rFont val="Tahoma"/>
            <family val="2"/>
          </rPr>
          <t>Данные берем с таблицы Торговля и общ питание</t>
        </r>
      </text>
    </comment>
    <comment ref="C73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Реестр МК: ремонты</t>
        </r>
      </text>
    </comment>
    <comment ref="E73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строительство гаража-каток</t>
        </r>
      </text>
    </comment>
    <comment ref="F73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строительство гаража-каток</t>
        </r>
      </text>
    </comment>
    <comment ref="C74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Узнавали у Дворецкого, Чукотстройзаказчик, что строилось из внебюджетных источников</t>
        </r>
      </text>
    </comment>
    <comment ref="A76" authorId="0">
      <text>
        <r>
          <rPr>
            <sz val="9"/>
            <rFont val="Tahoma"/>
            <family val="2"/>
          </rPr>
          <t>Добавляем приезжих строителей ЧТК и т.д.</t>
        </r>
      </text>
    </comment>
    <comment ref="D76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+900 человек другие сферы</t>
        </r>
      </text>
    </comment>
    <comment ref="A77" authorId="0">
      <text>
        <r>
          <rPr>
            <b/>
            <sz val="9"/>
            <rFont val="Tahoma"/>
            <family val="2"/>
          </rPr>
          <t xml:space="preserve">Численность берем со статсборников январь-декабрь 
</t>
        </r>
      </text>
    </comment>
    <comment ref="A89" authorId="0">
      <text>
        <r>
          <rPr>
            <b/>
            <sz val="9"/>
            <rFont val="Tahoma"/>
            <family val="2"/>
          </rPr>
          <t>добавляем еще фин. деятельность</t>
        </r>
      </text>
    </comment>
    <comment ref="D98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в отрасли строительство снижение</t>
        </r>
      </text>
    </comment>
    <comment ref="D99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снижение прочие социальные и персональные услуги</t>
        </r>
      </text>
    </comment>
    <comment ref="A104" authorId="0">
      <text>
        <r>
          <rPr>
            <b/>
            <sz val="9"/>
            <rFont val="Tahoma"/>
            <family val="2"/>
          </rPr>
          <t xml:space="preserve">Добавляем ЧОКСОН и Соцподдержка
</t>
        </r>
      </text>
    </comment>
    <comment ref="A105" authorId="0">
      <text>
        <r>
          <rPr>
            <b/>
            <sz val="9"/>
            <rFont val="Tahoma"/>
            <family val="2"/>
          </rPr>
          <t>Данные пенсионного и и Центра занятости</t>
        </r>
      </text>
    </comment>
    <comment ref="A106" authorId="0">
      <text>
        <r>
          <rPr>
            <b/>
            <sz val="8"/>
            <rFont val="Tahoma"/>
            <family val="2"/>
          </rPr>
          <t>fino-10:доходы населения от собственности, в том числе дивиденды, проценты, по вкладам, выплаты дохода по государственным и другим ценным бумагам, предварительная компенсация по вкладам граждан, доходы населения от продажи недвижимости на вторичном рынке жилья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выигрыши по лотереям;
доходы населения от продажи иностранной валюты (коммерческим банкам и Сбербанку России);
деньги, полученные по переводам (за вычетом переведенных и внесенных сумм).
прочие поступления, в том числе: от продажи утильсырья, металлолома и др. (несельскохозяйственные заготовки), другие доходы;</t>
        </r>
      </text>
    </comment>
    <comment ref="F106" authorId="0">
      <text>
        <r>
          <rPr>
            <b/>
            <sz val="8"/>
            <rFont val="Tahoma"/>
            <family val="2"/>
          </rPr>
          <t xml:space="preserve">% выплаченные вкладчикам: 
Колыма 3,614 млн. Сбер- около 2
</t>
        </r>
      </text>
    </comment>
    <comment ref="A111" authorId="0">
      <text>
        <r>
          <rPr>
            <b/>
            <sz val="8"/>
            <rFont val="Tahoma"/>
            <family val="2"/>
          </rPr>
          <t xml:space="preserve">В эту статью включаются: прирост (уменьшение) вкладов в учреждениях Сбербанка; прирост (уменьшение) вкладов в кредитных организациях прирост (уменьшение) средств физических лиц, депонированных в банках, для расчетов с использованием банковских карт; приобретение государственных и других ценных бумаг.
</t>
        </r>
        <r>
          <rPr>
            <b/>
            <i/>
            <sz val="8"/>
            <rFont val="Tahoma"/>
            <family val="2"/>
          </rPr>
          <t>Прогноз прироста вкладов населения в кредитных организациях счет № 423 (кроме № 42308), производится на основании анализа данных за отчетный период, рассчитываемых как разность между остатками этих средств на его начало и коне</t>
        </r>
        <r>
          <rPr>
            <b/>
            <sz val="8"/>
            <rFont val="Tahoma"/>
            <family val="2"/>
          </rPr>
          <t xml:space="preserve">ц.
Расходы населения на покупку недвижимости.
Расходы населения на приобретение иностранной валюты.
Отправление денежных переводов имеет существенное значение для исчисления баланса денежных доходов, расходов и сбережений населения в территориальном разрезе.
Деньги, отправленные по переводам (за вычетом полученных сумм) уменьшают объем денежных ресурсов населения, предъявляемых в данном регионе (республике, крае, области) на покупку товаров и оплату услуг, и поэтому учитываются в расходной части баланса. 
Прогнозирование сумм, отправленных по переводам, производится на основе анализа данных о почтовых и телеграфных переводах через предприятия связи за отчетный период.
</t>
        </r>
      </text>
    </comment>
    <comment ref="F111" authorId="0">
      <text>
        <r>
          <rPr>
            <b/>
            <sz val="8"/>
            <rFont val="Tahoma"/>
            <family val="2"/>
          </rPr>
          <t>Вклады на 01.01.2011 - 219,92 млн. на 01.01.2012 - 237 млн. на 01.11.2012 - 226 млн. (на конец года 260 млн.)</t>
        </r>
      </text>
    </comment>
    <comment ref="A112" authorId="0">
      <text>
        <r>
          <rPr>
            <b/>
            <sz val="9"/>
            <rFont val="Tahoma"/>
            <family val="2"/>
          </rPr>
          <t>Взяли с прогноза округа</t>
        </r>
      </text>
    </comment>
    <comment ref="M116" authorId="0">
      <text>
        <r>
          <rPr>
            <b/>
            <sz val="9"/>
            <rFont val="Tahoma"/>
            <family val="2"/>
          </rPr>
          <t xml:space="preserve">Индекс оборот розничной торговли  берем с окружного прогноза 
</t>
        </r>
      </text>
    </comment>
    <comment ref="N116" authorId="0">
      <text>
        <r>
          <rPr>
            <b/>
            <sz val="9"/>
            <rFont val="Tahoma"/>
            <family val="2"/>
          </rPr>
          <t xml:space="preserve">Индекс оборот розничной торговли  берем с окружного прогноза 
</t>
        </r>
      </text>
    </comment>
    <comment ref="O116" authorId="0">
      <text>
        <r>
          <rPr>
            <b/>
            <sz val="9"/>
            <rFont val="Tahoma"/>
            <family val="2"/>
          </rPr>
          <t xml:space="preserve">Индекс оборот розничной торговли  берем с окружного прогноза 
</t>
        </r>
      </text>
    </comment>
    <comment ref="M124" authorId="0">
      <text>
        <r>
          <rPr>
            <b/>
            <sz val="9"/>
            <rFont val="Tahoma"/>
            <family val="2"/>
          </rPr>
          <t xml:space="preserve">Индекс объме платных услуг населению берем с окружного прогноза 
</t>
        </r>
      </text>
    </comment>
    <comment ref="N124" authorId="0">
      <text>
        <r>
          <rPr>
            <b/>
            <sz val="9"/>
            <rFont val="Tahoma"/>
            <family val="2"/>
          </rPr>
          <t xml:space="preserve">Индекс объме платных услуг населению берем с окружного прогноза 
</t>
        </r>
      </text>
    </comment>
    <comment ref="O124" authorId="0">
      <text>
        <r>
          <rPr>
            <b/>
            <sz val="9"/>
            <rFont val="Tahoma"/>
            <family val="2"/>
          </rPr>
          <t xml:space="preserve">Индекс объме платных услуг населению берем с окружного прогноза 
</t>
        </r>
      </text>
    </comment>
    <comment ref="D125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уменьшение показателя по шмидтовскому</t>
        </r>
      </text>
    </comment>
    <comment ref="M125" authorId="0">
      <text>
        <r>
          <rPr>
            <b/>
            <sz val="9"/>
            <rFont val="Tahoma"/>
            <family val="2"/>
          </rPr>
          <t xml:space="preserve">Индекс объме платных услуг населению берем с окружного прогноза 
</t>
        </r>
      </text>
    </comment>
    <comment ref="N125" authorId="0">
      <text>
        <r>
          <rPr>
            <b/>
            <sz val="9"/>
            <rFont val="Tahoma"/>
            <family val="2"/>
          </rPr>
          <t xml:space="preserve">Индекс объме платных услуг населению берем с окружного прогноза 
</t>
        </r>
      </text>
    </comment>
    <comment ref="O125" authorId="0">
      <text>
        <r>
          <rPr>
            <b/>
            <sz val="9"/>
            <rFont val="Tahoma"/>
            <family val="2"/>
          </rPr>
          <t xml:space="preserve">Индекс объме платных услуг населению берем с окружного прогноза 
</t>
        </r>
      </text>
    </comment>
    <comment ref="D126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в связи с переходом на 100% оплату жилищных услуг населением</t>
        </r>
      </text>
    </comment>
    <comment ref="M126" authorId="0">
      <text>
        <r>
          <rPr>
            <b/>
            <sz val="9"/>
            <rFont val="Tahoma"/>
            <family val="2"/>
          </rPr>
          <t xml:space="preserve">Индекс объме платных услуг населению берем с окружного прогноза 
</t>
        </r>
      </text>
    </comment>
    <comment ref="N126" authorId="0">
      <text>
        <r>
          <rPr>
            <b/>
            <sz val="9"/>
            <rFont val="Tahoma"/>
            <family val="2"/>
          </rPr>
          <t xml:space="preserve">Индекс объме платных услуг населению берем с окружного прогноза 
</t>
        </r>
      </text>
    </comment>
    <comment ref="O126" authorId="0">
      <text>
        <r>
          <rPr>
            <b/>
            <sz val="9"/>
            <rFont val="Tahoma"/>
            <family val="2"/>
          </rPr>
          <t xml:space="preserve">Индекс объме платных услуг населению берем с окружного прогноза 
</t>
        </r>
      </text>
    </comment>
    <comment ref="M127" authorId="0">
      <text>
        <r>
          <rPr>
            <b/>
            <sz val="9"/>
            <rFont val="Tahoma"/>
            <family val="2"/>
          </rPr>
          <t xml:space="preserve">Индекс объме платных услуг населению берем с окружного прогноза 
</t>
        </r>
      </text>
    </comment>
    <comment ref="N127" authorId="0">
      <text>
        <r>
          <rPr>
            <b/>
            <sz val="9"/>
            <rFont val="Tahoma"/>
            <family val="2"/>
          </rPr>
          <t xml:space="preserve">Индекс объме платных услуг населению берем с окружного прогноза 
</t>
        </r>
      </text>
    </comment>
    <comment ref="O127" authorId="0">
      <text>
        <r>
          <rPr>
            <b/>
            <sz val="9"/>
            <rFont val="Tahoma"/>
            <family val="2"/>
          </rPr>
          <t xml:space="preserve">Индекс объме платных услуг населению берем с окружного прогноза 
</t>
        </r>
      </text>
    </comment>
    <comment ref="M128" authorId="0">
      <text>
        <r>
          <rPr>
            <b/>
            <sz val="9"/>
            <rFont val="Tahoma"/>
            <family val="2"/>
          </rPr>
          <t xml:space="preserve">Индекс объме платных услуг населению берем с окружного прогноза 
</t>
        </r>
      </text>
    </comment>
    <comment ref="N128" authorId="0">
      <text>
        <r>
          <rPr>
            <b/>
            <sz val="9"/>
            <rFont val="Tahoma"/>
            <family val="2"/>
          </rPr>
          <t xml:space="preserve">Индекс объме платных услуг населению берем с окружного прогноза 
</t>
        </r>
      </text>
    </comment>
    <comment ref="O128" authorId="0">
      <text>
        <r>
          <rPr>
            <b/>
            <sz val="9"/>
            <rFont val="Tahoma"/>
            <family val="2"/>
          </rPr>
          <t xml:space="preserve">Индекс объме платных услуг населению берем с окружного прогноза 
</t>
        </r>
      </text>
    </comment>
    <comment ref="M129" authorId="0">
      <text>
        <r>
          <rPr>
            <b/>
            <sz val="9"/>
            <rFont val="Tahoma"/>
            <family val="2"/>
          </rPr>
          <t xml:space="preserve">Индекс объме платных услуг населению берем с окружного прогноза 
</t>
        </r>
      </text>
    </comment>
    <comment ref="N129" authorId="0">
      <text>
        <r>
          <rPr>
            <b/>
            <sz val="9"/>
            <rFont val="Tahoma"/>
            <family val="2"/>
          </rPr>
          <t xml:space="preserve">Индекс объме платных услуг населению берем с окружного прогноза 
</t>
        </r>
      </text>
    </comment>
    <comment ref="O129" authorId="0">
      <text>
        <r>
          <rPr>
            <b/>
            <sz val="9"/>
            <rFont val="Tahoma"/>
            <family val="2"/>
          </rPr>
          <t xml:space="preserve">Индекс объме платных услуг населению берем с окружного прогноза 
</t>
        </r>
      </text>
    </comment>
    <comment ref="M130" authorId="0">
      <text>
        <r>
          <rPr>
            <b/>
            <sz val="9"/>
            <rFont val="Tahoma"/>
            <family val="2"/>
          </rPr>
          <t xml:space="preserve">Индекс объме платных услуг населению берем с окружного прогноза 
</t>
        </r>
      </text>
    </comment>
    <comment ref="N130" authorId="0">
      <text>
        <r>
          <rPr>
            <b/>
            <sz val="9"/>
            <rFont val="Tahoma"/>
            <family val="2"/>
          </rPr>
          <t xml:space="preserve">Индекс объме платных услуг населению берем с окружного прогноза 
</t>
        </r>
      </text>
    </comment>
    <comment ref="O130" authorId="0">
      <text>
        <r>
          <rPr>
            <b/>
            <sz val="9"/>
            <rFont val="Tahoma"/>
            <family val="2"/>
          </rPr>
          <t xml:space="preserve">Индекс объме платных услуг населению берем с окружного прогноза 
</t>
        </r>
      </text>
    </comment>
    <comment ref="A131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Услуги гостиниц
Физической культуры
Правовые</t>
        </r>
      </text>
    </comment>
    <comment ref="D131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нет показателей по гостиницам</t>
        </r>
      </text>
    </comment>
    <comment ref="M131" authorId="0">
      <text>
        <r>
          <rPr>
            <b/>
            <sz val="9"/>
            <rFont val="Tahoma"/>
            <family val="2"/>
          </rPr>
          <t xml:space="preserve">Индекс объме платных услуг населению берем с окружного прогноза 
</t>
        </r>
      </text>
    </comment>
    <comment ref="N131" authorId="0">
      <text>
        <r>
          <rPr>
            <b/>
            <sz val="9"/>
            <rFont val="Tahoma"/>
            <family val="2"/>
          </rPr>
          <t xml:space="preserve">Индекс объме платных услуг населению берем с окружного прогноза 
</t>
        </r>
      </text>
    </comment>
    <comment ref="O131" authorId="0">
      <text>
        <r>
          <rPr>
            <b/>
            <sz val="9"/>
            <rFont val="Tahoma"/>
            <family val="2"/>
          </rPr>
          <t xml:space="preserve">Индекс объме платных услуг населению берем с окружного прогноза 
</t>
        </r>
      </text>
    </comment>
    <comment ref="E141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площадь с БЖ</t>
        </r>
      </text>
    </comment>
    <comment ref="F141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площадь с БЖ</t>
        </r>
      </text>
    </comment>
    <comment ref="A142" authorId="0">
      <text>
        <r>
          <rPr>
            <b/>
            <sz val="8"/>
            <rFont val="Tahoma"/>
            <family val="2"/>
          </rPr>
          <t xml:space="preserve">Берем из формы 22 ЖКХ раздел № 3 столбец 7   итого. Убирем НДС 18%
</t>
        </r>
      </text>
    </comment>
    <comment ref="E142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22ЖКХ, 3 раздел</t>
        </r>
      </text>
    </comment>
    <comment ref="F142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22ЖКХ, 3 раздел</t>
        </r>
      </text>
    </comment>
    <comment ref="A143" authorId="0">
      <text>
        <r>
          <rPr>
            <b/>
            <sz val="9"/>
            <rFont val="Tahoma"/>
            <family val="2"/>
          </rPr>
          <t xml:space="preserve">берем из формы 22 ЖКХ раздел № 3 столбец 4/на столбец 3 
Свод по форме 222 ЖКХ готовит Администрация
</t>
        </r>
        <r>
          <rPr>
            <sz val="9"/>
            <rFont val="Tahoma"/>
            <family val="2"/>
          </rPr>
          <t xml:space="preserve">
</t>
        </r>
      </text>
    </comment>
    <comment ref="A144" authorId="0">
      <text>
        <r>
          <rPr>
            <sz val="8"/>
            <rFont val="Tahoma"/>
            <family val="2"/>
          </rPr>
          <t>Все (ощеобразовательная, школы коплексы, дошкольные учвреждения) 
кроме коррекции</t>
        </r>
      </text>
    </comment>
    <comment ref="A146" authorId="0">
      <text>
        <r>
          <rPr>
            <sz val="8"/>
            <rFont val="Tahoma"/>
            <family val="2"/>
          </rPr>
          <t xml:space="preserve">Узнавать в Профес. Училище, в учебной части 2-29-93
</t>
        </r>
      </text>
    </comment>
    <comment ref="B156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места в учреждениях/на кол-во детей*1000</t>
        </r>
      </text>
    </comment>
    <comment ref="A160" authorId="0">
      <text>
        <r>
          <rPr>
            <b/>
            <sz val="8"/>
            <rFont val="Tahoma"/>
            <family val="2"/>
          </rPr>
          <t xml:space="preserve">вложения в очистительные сооружения
</t>
        </r>
      </text>
    </comment>
    <comment ref="E160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ЧКХ плата за выбросы 2542487+налог за польз. Водными объектами 195835+ 50% ЭГРЭС</t>
        </r>
      </text>
    </comment>
    <comment ref="I160" authorId="0">
      <text>
        <r>
          <rPr>
            <sz val="9"/>
            <rFont val="Tahoma"/>
            <family val="2"/>
          </rPr>
          <t>АС "Шахтер"
ЗАО "ЧТК"
ООО "Арктика"</t>
        </r>
      </text>
    </comment>
    <comment ref="J160" authorId="0">
      <text>
        <r>
          <rPr>
            <sz val="9"/>
            <rFont val="Tahoma"/>
            <family val="2"/>
          </rPr>
          <t>АС "Шахтер"
ЗАО "ЧТК"
ООО "Арктика"</t>
        </r>
      </text>
    </comment>
    <comment ref="M160" authorId="0">
      <text>
        <r>
          <rPr>
            <sz val="9"/>
            <rFont val="Tahoma"/>
            <family val="2"/>
          </rPr>
          <t>АС "Шахтер"
ЗАО "ЧТК"
ООО "Арктика"</t>
        </r>
      </text>
    </comment>
    <comment ref="I161" authorId="0">
      <text>
        <r>
          <rPr>
            <sz val="9"/>
            <rFont val="Tahoma"/>
            <family val="2"/>
          </rPr>
          <t>АС "Шахтер"
ЗАО "ЧТК"
ООО "Арктика"</t>
        </r>
      </text>
    </comment>
    <comment ref="J161" authorId="0">
      <text>
        <r>
          <rPr>
            <sz val="9"/>
            <rFont val="Tahoma"/>
            <family val="2"/>
          </rPr>
          <t>АС "Шахтер"
ЗАО "ЧТК"
ООО "Арктика"</t>
        </r>
      </text>
    </comment>
    <comment ref="M161" authorId="0">
      <text>
        <r>
          <rPr>
            <sz val="9"/>
            <rFont val="Tahoma"/>
            <family val="2"/>
          </rPr>
          <t>АС "Шахтер"
ЗАО "ЧТК"
ООО "Арктика"</t>
        </r>
      </text>
    </comment>
    <comment ref="I162" authorId="0">
      <text>
        <r>
          <rPr>
            <sz val="9"/>
            <rFont val="Tahoma"/>
            <family val="2"/>
          </rPr>
          <t>АС "Шахтер"
ЗАО "ЧТК"
ООО "Арктика"</t>
        </r>
      </text>
    </comment>
    <comment ref="J162" authorId="0">
      <text>
        <r>
          <rPr>
            <sz val="9"/>
            <rFont val="Tahoma"/>
            <family val="2"/>
          </rPr>
          <t>АС "Шахтер"
ЗАО "ЧТК"
ООО "Арктика"</t>
        </r>
      </text>
    </comment>
    <comment ref="M162" authorId="0">
      <text>
        <r>
          <rPr>
            <sz val="9"/>
            <rFont val="Tahoma"/>
            <family val="2"/>
          </rPr>
          <t>АС "Шахтер"
ЗАО "ЧТК"
ООО "Арктика"</t>
        </r>
      </text>
    </comment>
    <comment ref="D163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342 куба подъем ЖКХ остальное ЭГРЭС на отопление </t>
        </r>
      </text>
    </comment>
    <comment ref="I163" authorId="0">
      <text>
        <r>
          <rPr>
            <sz val="9"/>
            <rFont val="Tahoma"/>
            <family val="2"/>
          </rPr>
          <t>АС "Шахтер"
ЗАО "ЧТК"
ООО "Арктика"</t>
        </r>
      </text>
    </comment>
    <comment ref="J163" authorId="0">
      <text>
        <r>
          <rPr>
            <sz val="9"/>
            <rFont val="Tahoma"/>
            <family val="2"/>
          </rPr>
          <t>АС "Шахтер"
ЗАО "ЧТК"
ООО "Арктика"</t>
        </r>
      </text>
    </comment>
    <comment ref="M163" authorId="0">
      <text>
        <r>
          <rPr>
            <sz val="9"/>
            <rFont val="Tahoma"/>
            <family val="2"/>
          </rPr>
          <t>АС "Шахтер"
ЗАО "ЧТК"
ООО "Арктика"</t>
        </r>
      </text>
    </comment>
    <comment ref="M171" authorId="0">
      <text>
        <r>
          <rPr>
            <b/>
            <sz val="9"/>
            <rFont val="Tahoma"/>
            <family val="2"/>
          </rPr>
          <t xml:space="preserve">Индекс пром производства берем с окружного прогноза 
</t>
        </r>
      </text>
    </comment>
    <comment ref="N171" authorId="0">
      <text>
        <r>
          <rPr>
            <b/>
            <sz val="9"/>
            <rFont val="Tahoma"/>
            <family val="2"/>
          </rPr>
          <t xml:space="preserve">Индекс пром производства берем с окружного прогноза 
</t>
        </r>
      </text>
    </comment>
    <comment ref="O171" authorId="0">
      <text>
        <r>
          <rPr>
            <b/>
            <sz val="9"/>
            <rFont val="Tahoma"/>
            <family val="2"/>
          </rPr>
          <t xml:space="preserve">Индекс пром производства берем с окружного прогноза 
</t>
        </r>
      </text>
    </comment>
    <comment ref="D172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85,3 Конергино
63 Амгуэма
82 Пионер
</t>
        </r>
      </text>
    </comment>
    <comment ref="E172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46 Конергино
242 Амгуэма
69 Пионер
52,339 Анкальыт</t>
        </r>
      </text>
    </comment>
  </commentList>
</comments>
</file>

<file path=xl/sharedStrings.xml><?xml version="1.0" encoding="utf-8"?>
<sst xmlns="http://schemas.openxmlformats.org/spreadsheetml/2006/main" count="930" uniqueCount="620">
  <si>
    <t>(тыс.рублей)</t>
  </si>
  <si>
    <t>Код бюджетной классификации Российской Федерации</t>
  </si>
  <si>
    <t xml:space="preserve">Наименование доходов </t>
  </si>
  <si>
    <t>000 1 00 00000 00 0000 000</t>
  </si>
  <si>
    <t>НАЛОГОВЫЕ И НЕНАЛОГОВЫЕ ДОХОДЫ</t>
  </si>
  <si>
    <t>НАЛОГОВЫЕ ДОХОДЫ</t>
  </si>
  <si>
    <t>000 1 01 00000 00 0000 000</t>
  </si>
  <si>
    <t>000 1 03 00000 00 0000 000</t>
  </si>
  <si>
    <t>000 1 05 00000 00 0000 000</t>
  </si>
  <si>
    <t>000 1 06 00000 00 0000 000</t>
  </si>
  <si>
    <t>000 1 08 00000 00 0000 000</t>
  </si>
  <si>
    <t>НЕНАЛОГОВЫЕ ДОХОДЫ</t>
  </si>
  <si>
    <t>000 1 11 00000 00 0000 000</t>
  </si>
  <si>
    <t>000 1 12 00000 00 0000 000</t>
  </si>
  <si>
    <t>000 1 13 00000 00 0000 000</t>
  </si>
  <si>
    <t>000 1 16 00000 00 0000 000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</si>
  <si>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</si>
  <si>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</si>
  <si>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</si>
  <si>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</si>
  <si>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0002 02 01000 00 0000 151</t>
  </si>
  <si>
    <t>Дотации бюджетам субъектов Российской Федерации и муниципальных образований</t>
  </si>
  <si>
    <t>000 2 02 02000 00 0000 151</t>
  </si>
  <si>
    <t>Субсидии бюджетам субъектов Российской Федерации и муниципальных образований (межбюджетные субсидии)</t>
  </si>
  <si>
    <t>000 2 02 02215 00 0000 151</t>
  </si>
  <si>
    <t>000 2 02 02999 00 0000 151</t>
  </si>
  <si>
    <t>Прочие субсидии</t>
  </si>
  <si>
    <t>В том числе:</t>
  </si>
  <si>
    <t>На реализацию мероприятий по проведению оздоровительной кампании детей, находящихся в трудной жизненной ситуации</t>
  </si>
  <si>
    <t>На снижение издержек предприятий на производство пищевой продукции</t>
  </si>
  <si>
    <t>На финансовую поддержку субъектов предпринимательской деятельности, осуществляющих деятельность в сельской местности</t>
  </si>
  <si>
    <t>На финансовую поддержку производителей молочной продукции</t>
  </si>
  <si>
    <t xml:space="preserve">000 2 02 03000 00 0000 151 </t>
  </si>
  <si>
    <t>Субвенции бюджетам субъектов Российской Федерации и муниципальных образований</t>
  </si>
  <si>
    <t>000 2 02 03003 00 0000 151</t>
  </si>
  <si>
    <t>Субвенции бюджетам на государственную регистрацию актов гражданского состояния</t>
  </si>
  <si>
    <t>000 2 02 03007 00 0000 151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</si>
  <si>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</si>
  <si>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Прочие субвенции</t>
  </si>
  <si>
    <t>000 2 02 03999 04 0000 151</t>
  </si>
  <si>
    <t>На осуществление учета граждан в связи с переселением</t>
  </si>
  <si>
    <t>На обеспечение деятельности комиссии по делам несовершеннолетних</t>
  </si>
  <si>
    <t>На обеспечение деятельности административных комиссий</t>
  </si>
  <si>
    <t>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образовательных организациях, входящих в Чукотский (надмуниципальный) образовательный округ</t>
  </si>
  <si>
    <t>000 2 02 04000 00 0000 151</t>
  </si>
  <si>
    <t>Иные межбюджетные трансферты</t>
  </si>
  <si>
    <t>000 2 02 04999 00 0000 151</t>
  </si>
  <si>
    <t>На компенсацию части платы за содержание ребенка в образовательных организациях Чукотского автономного округа, реализующих основную общеобразовательную программу дошкольного образования</t>
  </si>
  <si>
    <t>000 2 19 00000 00 0000 000</t>
  </si>
  <si>
    <t>Всего доходов</t>
  </si>
  <si>
    <t>(тыс. рублей)</t>
  </si>
  <si>
    <t>Наименование</t>
  </si>
  <si>
    <t>ЦСР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</si>
  <si>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</si>
  <si>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</si>
  <si>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</si>
  <si>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</si>
  <si>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</si>
  <si>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Обеспечение функционирования Главы городского округа, Администрации городского округа</t>
  </si>
  <si>
    <t>Глава городского округа</t>
  </si>
  <si>
    <t>Функционирование Правительства Российской Федерации, высших  исполнительных органов  государственной  власти субъектов Российской Федерации, местных администраций</t>
  </si>
  <si>
    <t>04</t>
  </si>
  <si>
    <t>Администрация городского округа</t>
  </si>
  <si>
    <t>Судебная система</t>
  </si>
  <si>
    <t>05</t>
  </si>
  <si>
    <t>Выполнение отдельных обязательств городского округа</t>
  </si>
  <si>
    <t>Иные непрограммные мероприятия</t>
  </si>
  <si>
    <t>Другие общегосударственные вопросы</t>
  </si>
  <si>
    <t>13</t>
  </si>
  <si>
    <t>Обеспечение функционирования отдельных органов местного самоуправления и учреждений городского округа</t>
  </si>
  <si>
    <t>Обеспечение функционирования отдельных органов местного самоуправления городского округа</t>
  </si>
  <si>
    <t>03</t>
  </si>
  <si>
    <t>80 2 00 51180</t>
  </si>
  <si>
    <t>Национальная безопасность и правоохранительная деятельность</t>
  </si>
  <si>
    <t>Органы юстиции</t>
  </si>
  <si>
    <t>Обеспечение пожарной безопасности</t>
  </si>
  <si>
    <t>10</t>
  </si>
  <si>
    <t>Муниципальная программа «Обеспечение пожарной безопасности и защиты населения городского округа Эгвекинот на 2016-2018 годы»</t>
  </si>
  <si>
    <t>Другие вопросы в области национальной безопасности и правоохранительной деятельности</t>
  </si>
  <si>
    <t>Муниципальная программа «Профилактика терроризма и экстремизма, а также минимизация и (или) ликвидация последствий проявлений терроризма и экстремизма на территории городского округа Эгвекинот на 2016-2018 годы»</t>
  </si>
  <si>
    <t>Национальная экономика</t>
  </si>
  <si>
    <t>Сельское хозяйство и рыболовство</t>
  </si>
  <si>
    <t>Муниципальная программа «Содержание, развитие и ремонт инфраструктуры городского округа Эгвекинот на 2016-2018 годы»</t>
  </si>
  <si>
    <t>Транспорт</t>
  </si>
  <si>
    <t>08</t>
  </si>
  <si>
    <t>Муниципальная программа «Развитие транспортной инфраструктуры городского округа Эгвекинот на 2016-2018 годы»</t>
  </si>
  <si>
    <t>Подпрограмма «Субсидирование пассажирских перевозок»</t>
  </si>
  <si>
    <t>Дорожное хозяйство (дорожные фонды)</t>
  </si>
  <si>
    <t>09</t>
  </si>
  <si>
    <t>Подпрограмма «Содержание автомобильных дорог общего пользования»</t>
  </si>
  <si>
    <t>Другие вопросы в области национальной экономики</t>
  </si>
  <si>
    <t>12</t>
  </si>
  <si>
    <t>Подпрограмма «Содержание вертолетных площадок»</t>
  </si>
  <si>
    <t>Жилищно-коммунальное хозяйство</t>
  </si>
  <si>
    <t>Жилищное хозяйство</t>
  </si>
  <si>
    <t>Коммунальное хозяйство</t>
  </si>
  <si>
    <t>Муниципальная программа «Поддержка жилищно-коммунального хозяйства и энергетики городского округа Эгвекинот на 2016-2018 годы»</t>
  </si>
  <si>
    <t>Подпрограмма «Поддержка жилищно-коммунального хозяйства»</t>
  </si>
  <si>
    <t>Подпрограмма «Субсидирование предприятий жилищно-коммунального хозяйства»</t>
  </si>
  <si>
    <t>Благоустройство</t>
  </si>
  <si>
    <t>Другие вопросы в области жилищно-коммунального хозяйства</t>
  </si>
  <si>
    <t>Социальная политика</t>
  </si>
  <si>
    <t>Социальное обеспечение населения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</si>
  <si>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</si>
  <si>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</si>
  <si>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Резервные фонды</t>
  </si>
  <si>
    <t>11</t>
  </si>
  <si>
    <t>Муниципальная программа «Стимулирование экономической активности населения городского округа Эгвекинот на 2016-2018 годы»</t>
  </si>
  <si>
    <t>Подпрограмма «Муниципальная поддержка малого и среднего предпринимательства»</t>
  </si>
  <si>
    <t>Муниципальная программа «Поддержка развития пищевой промышленности и торговли в городском округе Эгвекинот на 2016-2018 годы»</t>
  </si>
  <si>
    <t>Подпрограмма «Финансовая поддержка производителей социально значимых видов хлеба»</t>
  </si>
  <si>
    <t>Подпрограмма «Финансовая поддержка торговых предприятий реализующих населению социально значимые продовольственные товары»</t>
  </si>
  <si>
    <t>Подпрограмма «Финансовая поддержка производителей молочной продукции»</t>
  </si>
  <si>
    <t>Пенсионное обеспечение</t>
  </si>
  <si>
    <t>Пенсионное обеспечение муниципальных служащих</t>
  </si>
  <si>
    <t>Образование</t>
  </si>
  <si>
    <t>07</t>
  </si>
  <si>
    <t>Дошкольное образование</t>
  </si>
  <si>
    <t>Муниципальная программа «Развитие образования, культуры и молодёжной политики в городском округе Эгвекинот на 2016-2018 годы»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</si>
  <si>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</si>
  <si>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</si>
  <si>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</si>
  <si>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 xml:space="preserve">Культура, кинематография </t>
  </si>
  <si>
    <t>Культура</t>
  </si>
  <si>
    <t>Охрана семьи и детства</t>
  </si>
  <si>
    <t>Другие вопросы в области социальной политики</t>
  </si>
  <si>
    <t>Обеспечение функционирования отдельных учреждений городского округа</t>
  </si>
  <si>
    <t>Физическая культура и спорт</t>
  </si>
  <si>
    <t>Физическая культура</t>
  </si>
  <si>
    <t>Муниципальная программа «Развитие физической культуры и спорта в городском округе Эгвекинот на 2016-2018 годы»</t>
  </si>
  <si>
    <t>Подпрограмма «Развитие физической культуры и спорта»</t>
  </si>
  <si>
    <t>Подпрограмма «Финансовое обеспечение муниципального задания на оказание муниципальных услуг (выполнение работ)»</t>
  </si>
  <si>
    <t>Массовый спорт</t>
  </si>
  <si>
    <t>Совет депутатов городского округа Эгвекинот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</si>
  <si>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</si>
  <si>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функционирования Совета депутатов городского округа Эгвекинот</t>
  </si>
  <si>
    <t>Избирательная комиссия городского округа Эгвекинот</t>
  </si>
  <si>
    <t>Обеспечение проведения выборов и референдумов</t>
  </si>
  <si>
    <t>Обеспечение функционирования Избирательной комиссии городского округа Эгвекинот</t>
  </si>
  <si>
    <t>Контрольно-счетная палата городского округа Эгвекинот</t>
  </si>
  <si>
    <t>Обеспечение функционирования Контрольно-счетной палаты городского округа Эгвекинот</t>
  </si>
  <si>
    <t>85 1 00 10110</t>
  </si>
  <si>
    <t>Сумма - всего</t>
  </si>
  <si>
    <t>Сумма средств федерального бюджета</t>
  </si>
  <si>
    <t>Сумма средств окружного бюджета</t>
  </si>
  <si>
    <t>Сумма средств бюджета городского округа Эгвекинот</t>
  </si>
  <si>
    <t>ВСЕГО</t>
  </si>
  <si>
    <t>МУНИЦИПАЛЬНЫЕ ПРОГРАММЫ</t>
  </si>
  <si>
    <t>Подпрограмма «Обеспечение государственных гарантий и развитие современной инфраструктуры образования, культуры и молодёжной политики»</t>
  </si>
  <si>
    <t>02 1</t>
  </si>
  <si>
    <t>02 П</t>
  </si>
  <si>
    <t>03 1</t>
  </si>
  <si>
    <t>04 1</t>
  </si>
  <si>
    <t>04 П</t>
  </si>
  <si>
    <t>05 1</t>
  </si>
  <si>
    <t>05 2</t>
  </si>
  <si>
    <t>06 1</t>
  </si>
  <si>
    <t>06 2</t>
  </si>
  <si>
    <t>06 3</t>
  </si>
  <si>
    <t>08 1</t>
  </si>
  <si>
    <t>08 2</t>
  </si>
  <si>
    <t>08 3</t>
  </si>
  <si>
    <t>НЕПРОГРАММНЫЕ НАПРАВЛЕНИЯ ДЕЯТЕЛЬНОСТИ</t>
  </si>
  <si>
    <t>80</t>
  </si>
  <si>
    <t>80 1</t>
  </si>
  <si>
    <t>Компенсация расходов на оплату проезда и провоза багажа в соответствии с решением представительного органа местного самоуправления об утверждении Положения о некоторых гарантиях и компенсациях для лиц, работающих в организациях, финансируемых из бюджета городского округа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</si>
  <si>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80 2</t>
  </si>
  <si>
    <t>Осуществление первичного воинского учета на территориях, где отсутствуют военные комиссариаты (Закупка товаров, работ и услуг для обеспечения государственных (муниципальных) нужд)</t>
  </si>
  <si>
    <t>81</t>
  </si>
  <si>
    <t>81 1</t>
  </si>
  <si>
    <t>81 П</t>
  </si>
  <si>
    <t>82</t>
  </si>
  <si>
    <t>82 9</t>
  </si>
  <si>
    <t>82 Д</t>
  </si>
  <si>
    <t>83</t>
  </si>
  <si>
    <t>83 1</t>
  </si>
  <si>
    <t>84</t>
  </si>
  <si>
    <t>84 1</t>
  </si>
  <si>
    <t>Проведение выборов Главы и депутатов Совета депутатов городского округа Эгвекинот</t>
  </si>
  <si>
    <t>84 2</t>
  </si>
  <si>
    <t>85</t>
  </si>
  <si>
    <t>85 1</t>
  </si>
  <si>
    <t>000 1 14 00000 00 0000 000</t>
  </si>
  <si>
    <t xml:space="preserve"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
</t>
  </si>
  <si>
    <t xml:space="preserve">Прочие межбюджетные трансферты, передаваемые бюджетам </t>
  </si>
  <si>
    <t>000 1 09 00000 00 0000 000</t>
  </si>
  <si>
    <t>000 2 18 00000 00 0000 000</t>
  </si>
  <si>
    <t>14</t>
  </si>
  <si>
    <t>Защита населения и территории от чрезвычайных ситуаций природного и техногенного характера, гражданская оборона</t>
  </si>
  <si>
    <t>Дополнительное образование детей</t>
  </si>
  <si>
    <t>ИТОГО</t>
  </si>
  <si>
    <t xml:space="preserve">Наименование </t>
  </si>
  <si>
    <t>Сведения о расходах бюджета по разделам и подразделам классификации расходов бюджета</t>
  </si>
  <si>
    <t xml:space="preserve">Поступления доходов по классификации доходов бюджетов 
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</si>
  <si>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</si>
  <si>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</si>
  <si>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</si>
  <si>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</si>
  <si>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</si>
  <si>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</si>
  <si>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</si>
  <si>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</si>
  <si>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</si>
  <si>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</si>
  <si>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</si>
  <si>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Возврат остатков субсидий, субвенций и иных межбюджетных трансфертов, имеющих целевое назначение, прошлых лет</t>
  </si>
  <si>
    <t>Источники внутреннего финансирования дефицита бюджета 
городского округа Эгвекинот на 2016 год</t>
  </si>
  <si>
    <t>ИСТОЧНИКИ ВНУТРЕННЕГО ФИНАНСИРОВАНИЯ ДЕФИЦИТОВ БЮДЖЕТОВ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</si>
  <si>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</si>
  <si>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 Российской Федерации  в валюте Российской Федерации</t>
  </si>
  <si>
    <t>Погашение бюджетных кредитов, полученных от других бюджетов бюджетной системы  Российской Федерации  в валюте Российской Федерации</t>
  </si>
  <si>
    <t>Изменение остатков средств на счетах по учету средств бюджета</t>
  </si>
  <si>
    <t>Увеличение  остатков средств бюджетов</t>
  </si>
  <si>
    <t>Уменьшение остатков средств бюджетов</t>
  </si>
  <si>
    <t xml:space="preserve"> 000 01 00 00 00 00 0000 000</t>
  </si>
  <si>
    <t xml:space="preserve"> 000 01 03 00 00 00 0000 000</t>
  </si>
  <si>
    <t xml:space="preserve"> 000 01 03 01 00 00 0000 700</t>
  </si>
  <si>
    <t xml:space="preserve"> 000 01 03 01 00 00 0000 800</t>
  </si>
  <si>
    <t xml:space="preserve"> 000 01 05 00 00 00 0000 000</t>
  </si>
  <si>
    <t xml:space="preserve"> 000 01 05 00 00 00 0000 500</t>
  </si>
  <si>
    <t xml:space="preserve"> 000 01 05 00 00 00 0000 600</t>
  </si>
  <si>
    <t>Понедельник</t>
  </si>
  <si>
    <t>Пятница</t>
  </si>
  <si>
    <t>Выходной</t>
  </si>
  <si>
    <t>Шпак Анна Владимировна</t>
  </si>
  <si>
    <t>Руководитель</t>
  </si>
  <si>
    <t>Контактная информация</t>
  </si>
  <si>
    <t>тел. 2-23-15</t>
  </si>
  <si>
    <t>тел. 2-29-25</t>
  </si>
  <si>
    <t>График приема начальником Управления ФЭИ</t>
  </si>
  <si>
    <t>с 17.00 до 18.00</t>
  </si>
  <si>
    <t>График работы Управления ФЭИ</t>
  </si>
  <si>
    <t>Вторник</t>
  </si>
  <si>
    <t>Среда</t>
  </si>
  <si>
    <t>Четверг</t>
  </si>
  <si>
    <t>Суббота</t>
  </si>
  <si>
    <t>Воскресенье</t>
  </si>
  <si>
    <t>с 9.00 до 18.15 (с 13.00 до 14.00 обеденный перерыв)</t>
  </si>
  <si>
    <t>с 9.00 до 17.00 (с 13.00 до 14.00 обеденный перерыв)</t>
  </si>
  <si>
    <t>адрес организации: п. Эгвекинот, ул. Ленина д.1</t>
  </si>
  <si>
    <t>Управление финансов, экономики и имущественных отношений 
городского округа Эгвекинот 
(Управление ФЭИ ГО Эгвекинот)</t>
  </si>
  <si>
    <t>e-mail: fin@egvekinot.org</t>
  </si>
  <si>
    <t xml:space="preserve"> Начальник Управления ФЭИ</t>
  </si>
  <si>
    <t>Приёмная</t>
  </si>
  <si>
    <t>Наименование показателя</t>
  </si>
  <si>
    <t>Ед.изм.</t>
  </si>
  <si>
    <t>Факт</t>
  </si>
  <si>
    <t>Ожид.</t>
  </si>
  <si>
    <t>Прогноз</t>
  </si>
  <si>
    <t>2008 г.</t>
  </si>
  <si>
    <t>2009 г.</t>
  </si>
  <si>
    <t>2010 г.</t>
  </si>
  <si>
    <t>2011 г.</t>
  </si>
  <si>
    <t>2012 г.</t>
  </si>
  <si>
    <t>2013 г.</t>
  </si>
  <si>
    <t>2014 г.</t>
  </si>
  <si>
    <t>2015 г.</t>
  </si>
  <si>
    <t>2016 г.</t>
  </si>
  <si>
    <t>2018 г.</t>
  </si>
  <si>
    <t>I.Демографические показатели</t>
  </si>
  <si>
    <t>Численность населения  - всего</t>
  </si>
  <si>
    <t xml:space="preserve"> тыс. человек</t>
  </si>
  <si>
    <t>в % к предыдущему году</t>
  </si>
  <si>
    <t>в том числе:  городского</t>
  </si>
  <si>
    <t xml:space="preserve">сельского       </t>
  </si>
  <si>
    <t>II. Промышленность</t>
  </si>
  <si>
    <t>Объем  промышленной продукции (работ и услуг) в оптовых ценах предприятий (без налога на добавленную стоимость и акциза) - в целом</t>
  </si>
  <si>
    <t>в ценах соответствующих лет</t>
  </si>
  <si>
    <t>млн.руб</t>
  </si>
  <si>
    <t>млн.</t>
  </si>
  <si>
    <t xml:space="preserve"> в % к предыдущему году</t>
  </si>
  <si>
    <t>%</t>
  </si>
  <si>
    <t xml:space="preserve">В том числе по отраслям: </t>
  </si>
  <si>
    <t>электроэнергетика</t>
  </si>
  <si>
    <t>млн.руб.</t>
  </si>
  <si>
    <t>Пищевая промышленность</t>
  </si>
  <si>
    <t>Основные показатели развития электроэнергетики</t>
  </si>
  <si>
    <t>Полезный отпуск электроэнергии - всего</t>
  </si>
  <si>
    <t>тыс.кВт.ч.</t>
  </si>
  <si>
    <t>в том числе по группам потребителей:</t>
  </si>
  <si>
    <t xml:space="preserve">    промышленность и приравненные к ней отрасли</t>
  </si>
  <si>
    <t xml:space="preserve">   сельскохозяйственные производственные потребители</t>
  </si>
  <si>
    <t xml:space="preserve">   население</t>
  </si>
  <si>
    <t>III. Сельское хозяйство</t>
  </si>
  <si>
    <t xml:space="preserve"> Продукция сельского хозяйства во всех категориях хозяйств - всего</t>
  </si>
  <si>
    <t>в том числе:</t>
  </si>
  <si>
    <t xml:space="preserve">     продукция животноводства</t>
  </si>
  <si>
    <t xml:space="preserve"> в % к предыдущему году </t>
  </si>
  <si>
    <t xml:space="preserve">      продукция морских промыслов</t>
  </si>
  <si>
    <t xml:space="preserve">  в % к предыдущему году</t>
  </si>
  <si>
    <t xml:space="preserve">      продукция рыбодобычи</t>
  </si>
  <si>
    <t xml:space="preserve">Количество предприятий, занятых производством сельскохозяйственной продукции, состоящих на самостоятельном балансе - всего </t>
  </si>
  <si>
    <t>единиц</t>
  </si>
  <si>
    <t xml:space="preserve">        оленеводческие хозяйства</t>
  </si>
  <si>
    <t>морзверобойные хозяйства</t>
  </si>
  <si>
    <t>рыболовецкие артели</t>
  </si>
  <si>
    <t>-</t>
  </si>
  <si>
    <t>IV. Транспорт и связь</t>
  </si>
  <si>
    <t>Протяженность мунципальных автомобильных дорог с твердым покрытием</t>
  </si>
  <si>
    <t xml:space="preserve">  км.</t>
  </si>
  <si>
    <t>V. Малое предпринимательство</t>
  </si>
  <si>
    <t xml:space="preserve">Количество малых предприятий (по состоянию на конец года) - всего:  </t>
  </si>
  <si>
    <t>в том числе по отраслям:</t>
  </si>
  <si>
    <t>строительство</t>
  </si>
  <si>
    <t>торговля и общественное питание</t>
  </si>
  <si>
    <t>платные услуги</t>
  </si>
  <si>
    <t>другие отрасли</t>
  </si>
  <si>
    <t>Среднесписочная численность работников малых предприятий-всего</t>
  </si>
  <si>
    <t>человек</t>
  </si>
  <si>
    <t>Объем произведенной малыми предприятиями продукции (работ, услуг) - всего</t>
  </si>
  <si>
    <t>строительство в ценах соответствующих лет</t>
  </si>
  <si>
    <t>другие отрасли в ценах соответствующих лет</t>
  </si>
  <si>
    <t>Объем товарооборота малых предприятий торговли</t>
  </si>
  <si>
    <t>Объем платных услуг, оказанных малыми предприятиями</t>
  </si>
  <si>
    <t>VI. Инвестиции</t>
  </si>
  <si>
    <t>Объем подрядных работ</t>
  </si>
  <si>
    <t>в ценах   соответствующих лет</t>
  </si>
  <si>
    <t>Ввод в действие новых основных фондов за счет всех источников финансирования в ценах соответствующего периода</t>
  </si>
  <si>
    <t>VII. Труд</t>
  </si>
  <si>
    <t>Численность трудовых ресурсов (среднегодовая)</t>
  </si>
  <si>
    <t>Численность занятых в экономике-всего</t>
  </si>
  <si>
    <t>Сельское хозяйство</t>
  </si>
  <si>
    <t>Добыча полезных ископаемых</t>
  </si>
  <si>
    <t>Обрабатывающие производства</t>
  </si>
  <si>
    <t xml:space="preserve">     -производство пищевых продуктов</t>
  </si>
  <si>
    <t xml:space="preserve">     -издательская и полиграфическая деятельность</t>
  </si>
  <si>
    <t>Производство и распределение электроэнергии, газа и воды</t>
  </si>
  <si>
    <t>Строительство</t>
  </si>
  <si>
    <t>Оптовая и розничная торговля</t>
  </si>
  <si>
    <t>Гостиницы и рестораны</t>
  </si>
  <si>
    <t>Транспорт и связь</t>
  </si>
  <si>
    <t>Операции с недвижимым имуществом, аренда и предоставление услуг</t>
  </si>
  <si>
    <t>Государственное управление и обеспечение военной безопасности, обязательное социальное обеспечение</t>
  </si>
  <si>
    <t>Здравоохранение и предоставление социальных услуг</t>
  </si>
  <si>
    <t>Предоставление прочих коммунальных, социальных и персональных услуг</t>
  </si>
  <si>
    <t>Лица в трудоспособном возрасте, не занятые трудовой деятельностью и учебой</t>
  </si>
  <si>
    <t xml:space="preserve">      в том числе имеющие статус безработного</t>
  </si>
  <si>
    <t xml:space="preserve">Фонд заработной платы </t>
  </si>
  <si>
    <t xml:space="preserve"> в том числе:</t>
  </si>
  <si>
    <t xml:space="preserve">    в материальном производстве</t>
  </si>
  <si>
    <t xml:space="preserve">    в непроизводственной сфере</t>
  </si>
  <si>
    <r>
      <t xml:space="preserve">YIII. Денежные доходы и расходы населения  </t>
    </r>
    <r>
      <rPr>
        <sz val="12"/>
        <color indexed="9"/>
        <rFont val="Times New Roman"/>
        <family val="1"/>
      </rPr>
      <t>(в ценах соответствующих лет)</t>
    </r>
  </si>
  <si>
    <t>Доходы - всего</t>
  </si>
  <si>
    <t xml:space="preserve">  в том числе:</t>
  </si>
  <si>
    <t xml:space="preserve">     фонд заработной платы</t>
  </si>
  <si>
    <t xml:space="preserve">     социальные выплаты - всего</t>
  </si>
  <si>
    <t xml:space="preserve">        пенсии и пособия</t>
  </si>
  <si>
    <t xml:space="preserve">     прочие доходы</t>
  </si>
  <si>
    <t>Расходы и сбережения - всего</t>
  </si>
  <si>
    <t>покупка товаров и оплата услуг</t>
  </si>
  <si>
    <t>из них покупка товаров</t>
  </si>
  <si>
    <t>другие расходы и сбережения</t>
  </si>
  <si>
    <t>Величина прожиточного минимума в среднем на душу населения в месяц</t>
  </si>
  <si>
    <t>руб.</t>
  </si>
  <si>
    <t>Численность населения с денежными доходами ниже прожиточного минимума в % ко всему населению</t>
  </si>
  <si>
    <t>18</t>
  </si>
  <si>
    <t>17</t>
  </si>
  <si>
    <t>IX. Потребительский рынок</t>
  </si>
  <si>
    <t>Оборот розничной торговли  (во всех каналах реализации)</t>
  </si>
  <si>
    <t>Оборот общественного питания</t>
  </si>
  <si>
    <t>млн.руб. в ценах соответствующих лет</t>
  </si>
  <si>
    <t xml:space="preserve">в % к предыдущему году </t>
  </si>
  <si>
    <t>Объем платных услуг населению (с учетом экспертной оценки объемов  услуг по недоучтенным предприятиям и оказываемых физическими лицами)</t>
  </si>
  <si>
    <t xml:space="preserve">   в том числе:</t>
  </si>
  <si>
    <t xml:space="preserve">          бытовые услуги</t>
  </si>
  <si>
    <t xml:space="preserve">млн.руб. </t>
  </si>
  <si>
    <t xml:space="preserve">          услуги связи</t>
  </si>
  <si>
    <t xml:space="preserve">           жилищные услуги</t>
  </si>
  <si>
    <t xml:space="preserve">           коммунальные услуги</t>
  </si>
  <si>
    <t xml:space="preserve">            услуги культуры</t>
  </si>
  <si>
    <t xml:space="preserve">            медицинские услуги</t>
  </si>
  <si>
    <t xml:space="preserve">          услуги образования</t>
  </si>
  <si>
    <t>Прочие виды платных услуг</t>
  </si>
  <si>
    <t>Производство пищевых продуктов:</t>
  </si>
  <si>
    <t>в % к предыд.году</t>
  </si>
  <si>
    <t xml:space="preserve">      в том числе:</t>
  </si>
  <si>
    <t xml:space="preserve">         мясо</t>
  </si>
  <si>
    <t xml:space="preserve">         хлеб и мучные кондитерские изделия</t>
  </si>
  <si>
    <t xml:space="preserve">         переработка рыбо - море продуктов</t>
  </si>
  <si>
    <t xml:space="preserve">         кисло-молочные продукты</t>
  </si>
  <si>
    <t>X. Развитие отраслей социальной сферы</t>
  </si>
  <si>
    <t>Ввод в эксплуатацию жилых домов за счет всех источников финансирования</t>
  </si>
  <si>
    <t>кв.м.</t>
  </si>
  <si>
    <t>0</t>
  </si>
  <si>
    <t>362,5</t>
  </si>
  <si>
    <t>825,8</t>
  </si>
  <si>
    <t>Средняя обеспеченность населения общей площадью жилых квартир (на конец года)</t>
  </si>
  <si>
    <t>кв.м. на человека</t>
  </si>
  <si>
    <t>Полная стоимость предоставляемых населению жилищно-коммунальных услуг</t>
  </si>
  <si>
    <t>419,5</t>
  </si>
  <si>
    <t>477,5</t>
  </si>
  <si>
    <t>Доля стоимости жилищно-коммунальных услуг, оплачиваемых населением</t>
  </si>
  <si>
    <t>25</t>
  </si>
  <si>
    <t>28</t>
  </si>
  <si>
    <t>26</t>
  </si>
  <si>
    <t>23,5</t>
  </si>
  <si>
    <t>24</t>
  </si>
  <si>
    <t>Численность детей в учреждениях дошкольного и общего образования</t>
  </si>
  <si>
    <t>1341</t>
  </si>
  <si>
    <t>1270</t>
  </si>
  <si>
    <t>920</t>
  </si>
  <si>
    <t>915</t>
  </si>
  <si>
    <t>910</t>
  </si>
  <si>
    <t>Численность учащихся среднего профессионального образования</t>
  </si>
  <si>
    <t>183</t>
  </si>
  <si>
    <t>186</t>
  </si>
  <si>
    <t>222</t>
  </si>
  <si>
    <t>300</t>
  </si>
  <si>
    <t>Численность учащихся начального профессионального образования</t>
  </si>
  <si>
    <t>92</t>
  </si>
  <si>
    <t>141</t>
  </si>
  <si>
    <t>94</t>
  </si>
  <si>
    <t>155</t>
  </si>
  <si>
    <t>Обеспеченность:</t>
  </si>
  <si>
    <t xml:space="preserve">    больничными койками</t>
  </si>
  <si>
    <t xml:space="preserve"> коек на 1 тыс.жителей</t>
  </si>
  <si>
    <t xml:space="preserve">    амбулаторно-поликлиническими учреждениями</t>
  </si>
  <si>
    <t>посещений в смену на 1 тыс.жителей</t>
  </si>
  <si>
    <t xml:space="preserve">    фельдшерско-акушерскими пунктами</t>
  </si>
  <si>
    <t xml:space="preserve">     врачами</t>
  </si>
  <si>
    <t>чел. на 1 тыс.жителей</t>
  </si>
  <si>
    <t xml:space="preserve">     средним медицинским персоналом</t>
  </si>
  <si>
    <t xml:space="preserve">    массовыми библиотеками</t>
  </si>
  <si>
    <t>учрежд.на 1 тыс.населения</t>
  </si>
  <si>
    <t xml:space="preserve">    клубными учреждениями</t>
  </si>
  <si>
    <t>Численность обучающихся в первую смену в дневных учреждениях общего образования</t>
  </si>
  <si>
    <t>в % к общему числу</t>
  </si>
  <si>
    <t>100</t>
  </si>
  <si>
    <t>XI. Охрана окружающей среды</t>
  </si>
  <si>
    <t>Инвестиции, предусматриваемые на природоохранные мероприятия за счет всех источников финансирования</t>
  </si>
  <si>
    <t>Объем сброса загрязненных сточных вод</t>
  </si>
  <si>
    <t>тн</t>
  </si>
  <si>
    <t>Объем вредных веществ, выбрасываемых в атмосферный воздух стационарными источниками загрязнения</t>
  </si>
  <si>
    <t>4500</t>
  </si>
  <si>
    <t>4350</t>
  </si>
  <si>
    <t>Объем водопотребления</t>
  </si>
  <si>
    <t>тыс.куб.м</t>
  </si>
  <si>
    <t>1295</t>
  </si>
  <si>
    <t>1290</t>
  </si>
  <si>
    <t>1285</t>
  </si>
  <si>
    <r>
      <t>XI</t>
    </r>
    <r>
      <rPr>
        <b/>
        <sz val="8"/>
        <rFont val="Arial"/>
        <family val="2"/>
      </rPr>
      <t>.</t>
    </r>
    <r>
      <rPr>
        <b/>
        <sz val="12"/>
        <rFont val="Times New Roman"/>
        <family val="1"/>
      </rPr>
      <t xml:space="preserve"> Производство важнейших видов продукции в натуральном выражении</t>
    </r>
  </si>
  <si>
    <t>Электроэнергия</t>
  </si>
  <si>
    <t>млн.кВт.ч</t>
  </si>
  <si>
    <t xml:space="preserve">      в том числе вырабатываемая:</t>
  </si>
  <si>
    <t>ТЭС</t>
  </si>
  <si>
    <t xml:space="preserve">ДЭС </t>
  </si>
  <si>
    <t>отпуск теплоэнергии - всего</t>
  </si>
  <si>
    <t>тыс.Гкал</t>
  </si>
  <si>
    <t>в том числе полезный</t>
  </si>
  <si>
    <t>Золото</t>
  </si>
  <si>
    <t>кг.</t>
  </si>
  <si>
    <t>ИТОГО:</t>
  </si>
  <si>
    <t>Мясо (включая субпродукты 1 категории и мясо морзверя)</t>
  </si>
  <si>
    <t>тонн</t>
  </si>
  <si>
    <t>Цельномолочная продукция</t>
  </si>
  <si>
    <t>Хлеб и хлебобулочные изделия</t>
  </si>
  <si>
    <t>Пиво</t>
  </si>
  <si>
    <t>т.дкл</t>
  </si>
  <si>
    <t>Безалкогольные напитки</t>
  </si>
  <si>
    <t>№ п/п</t>
  </si>
  <si>
    <t>Един. измерения</t>
  </si>
  <si>
    <t xml:space="preserve">Прогноз </t>
  </si>
  <si>
    <t>2019 г.</t>
  </si>
  <si>
    <t>1.</t>
  </si>
  <si>
    <t>Выработка электроэнергии всего:</t>
  </si>
  <si>
    <t>ЭГРЭС</t>
  </si>
  <si>
    <t>МУП ЖКХ «Иультинское»</t>
  </si>
  <si>
    <t>2.</t>
  </si>
  <si>
    <t>Отпуск тепла всего:</t>
  </si>
  <si>
    <t>- ЭГРЭС</t>
  </si>
  <si>
    <t>ООО "Тепло-Рыркайпий"</t>
  </si>
  <si>
    <t>3.</t>
  </si>
  <si>
    <t>Добыча золота</t>
  </si>
  <si>
    <t>кг</t>
  </si>
  <si>
    <t>4.</t>
  </si>
  <si>
    <t>Мясо, включая мясо морзверя</t>
  </si>
  <si>
    <t>5.</t>
  </si>
  <si>
    <t>6.</t>
  </si>
  <si>
    <t>Приложение № 2</t>
  </si>
  <si>
    <t>Наименование хлебопекарного предприятия</t>
  </si>
  <si>
    <t xml:space="preserve"> МУП «Шмидтовское муниципальное торговое предприятие Иультинского муниципального района»</t>
  </si>
  <si>
    <t>тн.</t>
  </si>
  <si>
    <t>ООО «Иультинский пекарь»</t>
  </si>
  <si>
    <t>ООО «Хлебный дар»</t>
  </si>
  <si>
    <t>ИП Яковенко В.М.</t>
  </si>
  <si>
    <t>ГАПОУ ЧАО «Чукотский полярный техникум поселка Эгвекинот»</t>
  </si>
  <si>
    <t>Приложение № 3</t>
  </si>
  <si>
    <t>Забой</t>
  </si>
  <si>
    <t>Численность поголовья на 01.01.2018</t>
  </si>
  <si>
    <t>Голов</t>
  </si>
  <si>
    <t>Убойный вес (тн)</t>
  </si>
  <si>
    <t>Олени:</t>
  </si>
  <si>
    <t>МУСХП «Возрождение»</t>
  </si>
  <si>
    <t>МУСХП «Амгуэма»</t>
  </si>
  <si>
    <t>МП СХП «Пионер»</t>
  </si>
  <si>
    <t>Всего по району:</t>
  </si>
  <si>
    <t>Приложение № 4</t>
  </si>
  <si>
    <t>ПЛАН</t>
  </si>
  <si>
    <t>строительства, реконструкции  и  капитального  ремонта</t>
  </si>
  <si>
    <t>Населенный пункт района</t>
  </si>
  <si>
    <t>Наименование мероприятий, работ</t>
  </si>
  <si>
    <t>ГП Эгвекинот</t>
  </si>
  <si>
    <t>СП Амгуэма</t>
  </si>
  <si>
    <t>СП Конергино</t>
  </si>
  <si>
    <t>СП Рыркайпий</t>
  </si>
  <si>
    <t>СП Ванкарем</t>
  </si>
  <si>
    <t>СП Нутепельмен</t>
  </si>
  <si>
    <t>СП Уэлькаль</t>
  </si>
  <si>
    <t xml:space="preserve"> </t>
  </si>
  <si>
    <t>План на 2017 год (с учетом изменений)</t>
  </si>
  <si>
    <t>План на 2018 год</t>
  </si>
  <si>
    <t>Субсидии бюджетам городских округов на софинансирование капитальных вложений в объекты муниципальной собственности</t>
  </si>
  <si>
    <t>На обеспечение жителей округа социально значимыми продовольственными товарами</t>
  </si>
  <si>
    <t>На оплату расходов, связанных с проведением мероприятий по переводу многоквартирного жилого дома на отопление от автономного источника, из резервного фонда Правительства ЧАО</t>
  </si>
  <si>
    <t>На проведение ремонтно-восстановительных работ скатной кровли здания муниципального бюджетного общеобразовательного учреждения «Центр образования села Конергино», пострадавшей в результате стихийного бедствия 29-30 декабря 2016 года, из резервного фонда Правительства ЧАО</t>
  </si>
  <si>
    <t>На оплату расходов, связанных с подключением электроснабжения потребителей с. Амгуэма от резервного модуля АС-500 при ликвидации аварийных ситуаций на ВЛ-110 кВ «Эгвекинотская ГРЭС – Иультин» в октябре-ноябре 2016 года из резервного фонда Правительства ЧАО</t>
  </si>
  <si>
    <t>На приобретение оборудования и товарно-материальных ценностей для нужд муниципальных образовательных организаций, учреждений культуры и спорта в 2017 году</t>
  </si>
  <si>
    <t>Для оплаты фактических транспортных расходов, связанных с переездом жителей сельского поселения Нешкан в городской округ Эгвекинот, из резервного фонда Правительства ЧАО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</si>
  <si>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</si>
  <si>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</si>
  <si>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r>
      <t xml:space="preserve">На предоставление мер социальной поддержки по оплате жилого помещения и коммунальных услуг работникам </t>
    </r>
    <r>
      <rPr>
        <i/>
        <sz val="12"/>
        <color indexed="8"/>
        <rFont val="Times New Roman"/>
        <family val="1"/>
      </rPr>
      <t>образовательных учреждений</t>
    </r>
  </si>
  <si>
    <r>
      <t xml:space="preserve">На предоставление мер социальной поддержки по оплате жилого помещения и коммунальных услуг работникам </t>
    </r>
    <r>
      <rPr>
        <i/>
        <sz val="12"/>
        <color indexed="8"/>
        <rFont val="Times New Roman"/>
        <family val="1"/>
      </rPr>
      <t>учреждений культуры</t>
    </r>
  </si>
  <si>
    <t>Доходы бюджетов городских округов от возврата иными организациями остатков субсидий прошлых лет</t>
  </si>
  <si>
    <t xml:space="preserve">На возмещение организациям ЖКХ части расходов по приобретенной тепловой энергии </t>
  </si>
  <si>
    <t>На возмещение организациям ЖКХ разницы в стоимости топлива</t>
  </si>
  <si>
    <t>На выполнение ремонтных работ на объектах коммунальной инфраструктуры в рамках подготовки к работе в зимних условиях</t>
  </si>
  <si>
    <t>На укрепление и оснащение материально-технической базы организаций ЖКХ</t>
  </si>
  <si>
    <t>На возмещение части расходов организациям ЖКХ по приобретенной электрической энергии</t>
  </si>
  <si>
    <t>На оплату расходов, связанных с приобретением бытовых предметов первой необходимости и расходов на содержание помещений жителям села Нешкан из резервного фонда Правительства ЧАО</t>
  </si>
  <si>
    <t>На восстановление разрушенного дорожного полотна на участке дороги по ул. Ленина, моста через ручей «Изыскательский» и берегоукрепление из резервного фонда Правительства ЧАО</t>
  </si>
  <si>
    <t>На оплату расходов, связанных с временным переселением жителей села Нешкан из резервного фонда Правительства ЧАО</t>
  </si>
  <si>
    <t>На обеспечение населения и социальных объектов в селе Амгуэма городского округа Эгвекинот электроэнергией и водоснабжением из резервного фонда Правительства ЧАО</t>
  </si>
  <si>
    <t>На проведение кадастровых работ в целях формирования земельных участков из резервного фонда Правительства ЧАО</t>
  </si>
  <si>
    <t>На проведение ремонтно-восстановительных работ из резервного фонда Правительства ЧАО</t>
  </si>
  <si>
    <t>На организацию проведения мероприятий по отлову и содержанию безнадзорных животных</t>
  </si>
  <si>
    <t>Фактическое исполнение за 2016 год</t>
  </si>
  <si>
    <t>Основные показатели прогноза социально-экономического  развития  городского округа Эгвекинот на 2018 - 2020 годы</t>
  </si>
  <si>
    <t>по городскому округу Эгвекинот на 2018-2020 г.г.</t>
  </si>
  <si>
    <t xml:space="preserve">к основным показателям прогноза социально-экономического
 развития городского округа Эгвекинот на 2018-2020 годы </t>
  </si>
  <si>
    <t>Строительство спортивного комплекса</t>
  </si>
  <si>
    <t xml:space="preserve">Капитальный ремонт кровель в МКД </t>
  </si>
  <si>
    <t>Снос зданий по ул. Ленина д. 6.1, 6.2, 6.3, 22Б</t>
  </si>
  <si>
    <t>Капитальный ремонт автомобильной дороги «Эгвекинот – Мыс Шмидта» на участке 2+6500-км. 5+500. ПК55+00</t>
  </si>
  <si>
    <t>Реконструкция тепловых и водопроводных сетей</t>
  </si>
  <si>
    <t>Утепление фасадов жилых домов (43 шт.)</t>
  </si>
  <si>
    <t>Капитальный ремонт автодорог и дворовых территорий</t>
  </si>
  <si>
    <t>Капитальный ремонт выгребных ям (36 ед.)</t>
  </si>
  <si>
    <t>Полная замена системы отопления, ХГВС и канализации в МКД (17 Ж/Д)</t>
  </si>
  <si>
    <t>Реконструкция электросетей 6 кВ 11 км</t>
  </si>
  <si>
    <t>Реконструкция электросетей 0,4 кВ 9 км-14,2</t>
  </si>
  <si>
    <t>Строительство плавательного бассейна</t>
  </si>
  <si>
    <t>Строительство 10 одноквартирных двухкомнатных жилых домов</t>
  </si>
  <si>
    <r>
      <t>Благоустройство (бетонирование) (10000 м</t>
    </r>
    <r>
      <rPr>
        <vertAlign val="super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>)</t>
    </r>
  </si>
  <si>
    <t>Реконструкция здания под социальное жильё</t>
  </si>
  <si>
    <t>Строительство ЦТП</t>
  </si>
  <si>
    <t>Капитальный ремонт кровель в МКД (7 МКД)</t>
  </si>
  <si>
    <r>
      <t>Строительство здания почты (120  м</t>
    </r>
    <r>
      <rPr>
        <vertAlign val="super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>)</t>
    </r>
  </si>
  <si>
    <t>Строительство спортивной площадки</t>
  </si>
  <si>
    <r>
      <t>Благоустройство (бетонирование) (9000  м</t>
    </r>
    <r>
      <rPr>
        <vertAlign val="superscript"/>
        <sz val="12"/>
        <color indexed="8"/>
        <rFont val="Times New Roman"/>
        <family val="1"/>
      </rPr>
      <t xml:space="preserve">2 </t>
    </r>
    <r>
      <rPr>
        <sz val="12"/>
        <color indexed="8"/>
        <rFont val="Times New Roman"/>
        <family val="1"/>
      </rPr>
      <t>)</t>
    </r>
  </si>
  <si>
    <r>
      <t>Строительство спортивного комплекса (730  м</t>
    </r>
    <r>
      <rPr>
        <vertAlign val="super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>)</t>
    </r>
  </si>
  <si>
    <t>Реконструкция котельной (Гкал-6,6)</t>
  </si>
  <si>
    <t xml:space="preserve">Строительство 10-ти квартирного жилого дома для «малосемейных» </t>
  </si>
  <si>
    <r>
      <t>Перенос склада ГСМ (300  м</t>
    </r>
    <r>
      <rPr>
        <vertAlign val="super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>) из поймы нерестовой речки</t>
    </r>
  </si>
  <si>
    <t>Строительство жилых домов</t>
  </si>
  <si>
    <t>Строительство детской спортивной площадки</t>
  </si>
  <si>
    <t>Строительство административного здания</t>
  </si>
  <si>
    <t>Капитальный ремонт 5 квартирного дома</t>
  </si>
  <si>
    <r>
      <t>Капитальный ремонт центра досуга и народного творчества (450 м</t>
    </r>
    <r>
      <rPr>
        <vertAlign val="super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>)</t>
    </r>
  </si>
  <si>
    <t>Строительство 12 квартирного дома</t>
  </si>
  <si>
    <t>Строительство 42 одноквартирных жилых домов</t>
  </si>
  <si>
    <t>Ремонт водовода</t>
  </si>
  <si>
    <t>Реконструкция котельной (5 Гкал)</t>
  </si>
  <si>
    <r>
      <t>Строительство водоочистных сооружений (100 м</t>
    </r>
    <r>
      <rPr>
        <vertAlign val="super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 xml:space="preserve"> / в сутки)</t>
    </r>
  </si>
  <si>
    <t>Строительство бани на 10 мест</t>
  </si>
  <si>
    <t>Строительство вертолетной площадки</t>
  </si>
  <si>
    <t>Строительство взлетно-посадочной полосы</t>
  </si>
  <si>
    <t>Строительство ДЭС</t>
  </si>
  <si>
    <r>
      <t>Установка емкости под холодную воду (1000 м</t>
    </r>
    <r>
      <rPr>
        <vertAlign val="super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>)</t>
    </r>
  </si>
  <si>
    <t>Строительство станции узла связи и почты</t>
  </si>
  <si>
    <t>Реконструкция тепловых сетей, холодного и горячего водоснабжения</t>
  </si>
  <si>
    <t>Строительство пождепо на 2 автомобиля</t>
  </si>
  <si>
    <t>Утепление полов первых этажей в жилищном фонде</t>
  </si>
  <si>
    <r>
      <t>Благоустройство (бетонирование) (14000 м</t>
    </r>
    <r>
      <rPr>
        <vertAlign val="super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>)</t>
    </r>
  </si>
  <si>
    <t>Строительство гаража на 10 машин</t>
  </si>
  <si>
    <r>
      <t>Строительство спортивного комплекса (730 м</t>
    </r>
    <r>
      <rPr>
        <vertAlign val="super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>)</t>
    </r>
  </si>
  <si>
    <t>Реконструкция котельной</t>
  </si>
  <si>
    <r>
      <t>Строительство водоочистных сооружений (400 м</t>
    </r>
    <r>
      <rPr>
        <vertAlign val="super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>в сутки)</t>
    </r>
  </si>
  <si>
    <t>Реконтсрукция канализационных сетей</t>
  </si>
  <si>
    <t>Капитальный ремонт административного здания</t>
  </si>
  <si>
    <t xml:space="preserve">Капитальный ремонт школы (учащиеся 20 чел.) </t>
  </si>
  <si>
    <r>
      <t>Благоустройство (бетонирование) (8000 м</t>
    </r>
    <r>
      <rPr>
        <vertAlign val="superscript"/>
        <sz val="12"/>
        <color indexed="8"/>
        <rFont val="Times New Roman"/>
        <family val="1"/>
      </rPr>
      <t xml:space="preserve">2 </t>
    </r>
    <r>
      <rPr>
        <sz val="12"/>
        <color indexed="8"/>
        <rFont val="Times New Roman"/>
        <family val="1"/>
      </rPr>
      <t>)</t>
    </r>
  </si>
  <si>
    <t>Строительство здания ФАП (5-мест)</t>
  </si>
  <si>
    <t>Строительство здания МУК «Центра досуга и народного творчества с Нутепельмен»</t>
  </si>
  <si>
    <t>Монтаж модулей автономного отопления дома культуры</t>
  </si>
  <si>
    <t>Строительство пристройки к школе</t>
  </si>
  <si>
    <t>Строительство летнего временного водовода</t>
  </si>
  <si>
    <t>Оборудование водозабора</t>
  </si>
  <si>
    <t>Строительство 10 одноквартирных домов</t>
  </si>
  <si>
    <t>Капитальный ремонт МКД</t>
  </si>
  <si>
    <t>Реконструкция электросетей 0,4 кВ 5 км.</t>
  </si>
  <si>
    <t>Строительство жилья</t>
  </si>
  <si>
    <r>
      <t xml:space="preserve">Благоустройство (бетонирование) </t>
    </r>
    <r>
      <rPr>
        <sz val="12"/>
        <color indexed="8"/>
        <rFont val="Times New Roman"/>
        <family val="1"/>
      </rPr>
      <t>(10 000 м</t>
    </r>
    <r>
      <rPr>
        <vertAlign val="super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>)</t>
    </r>
  </si>
  <si>
    <t>Строительство ВПП</t>
  </si>
  <si>
    <t>Приложение 1</t>
  </si>
  <si>
    <t>Производство важнейших видов продукции в натуральном выражении по городскому округу Эгвекинот на 2018-2020 годы</t>
  </si>
  <si>
    <t>Ожидаемое выполнение 2017г.</t>
  </si>
  <si>
    <t>2020 г.</t>
  </si>
  <si>
    <t>Объемы производства хлеба и хлебобулочных изделий на 2018 год по городскому округу Эгвекинот</t>
  </si>
  <si>
    <t>Фактически за 2016 год</t>
  </si>
  <si>
    <t>Ожидаемое выполнение за 2017 год</t>
  </si>
  <si>
    <t>ПЛАН по поголовью оленей на 2018 год</t>
  </si>
  <si>
    <t>Ожидаемый за 2017 год</t>
  </si>
  <si>
    <t xml:space="preserve">Численность поголовья на 01.01.2017 </t>
  </si>
  <si>
    <t>Численность поголовья на 01.01.2019</t>
  </si>
  <si>
    <t xml:space="preserve">2020 г. </t>
  </si>
  <si>
    <t>Бюджетные инвестиции на приобретение объектов недвижимого имущества в государственную (муниципальную) собственность</t>
  </si>
  <si>
    <t>831,12</t>
  </si>
  <si>
    <t>246</t>
  </si>
  <si>
    <t>285</t>
  </si>
  <si>
    <t>Распределение бюджетных ассигнований по муниципальным программам городского округа Эгвекинот и непрограммным направлениям деятельности на 2018 год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</si>
</sst>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0.0"/>
    <numFmt numFmtId="175" formatCode="0.0;[Red]0.0"/>
    <numFmt numFmtId="176" formatCode="0.00;[Red]0.00"/>
    <numFmt numFmtId="177" formatCode="0;[Red]0"/>
    <numFmt numFmtId="178" formatCode="0.0000"/>
    <numFmt numFmtId="179" formatCode="#,##0.0000"/>
    <numFmt numFmtId="180" formatCode="0.0%"/>
    <numFmt numFmtId="181" formatCode="#,##0.0;[Red]#,##0.0"/>
    <numFmt numFmtId="182" formatCode="_-* #,##0.0_р_._-;\-* #,##0.0_р_._-;_-* &quot;-&quot;??_р_._-;_-@_-"/>
    <numFmt numFmtId="183" formatCode="[$-FC19]d\ mmmm\ yyyy\ &quot;г.&quot;"/>
  </numFmts>
  <fonts count="124">
    <font>
      <sz val="11"/>
      <color theme="1"/>
      <name val="Calibri"/>
      <family val="2"/>
    </font>
    <font>
      <sz val="12"/>
      <color indexed="8"/>
      <name val="Times New Roman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 Cyr"/>
      <family val="0"/>
    </font>
    <font>
      <sz val="11"/>
      <color indexed="8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0"/>
      <name val="Arial Cyr"/>
      <family val="0"/>
    </font>
    <font>
      <i/>
      <sz val="12"/>
      <color indexed="8"/>
      <name val="Times New Roman"/>
      <family val="1"/>
    </font>
    <font>
      <b/>
      <sz val="12"/>
      <color indexed="63"/>
      <name val="Times New Roman"/>
      <family val="1"/>
    </font>
    <font>
      <sz val="10"/>
      <name val="Helv"/>
      <family val="0"/>
    </font>
    <font>
      <sz val="8"/>
      <name val="Times New Roman"/>
      <family val="1"/>
    </font>
    <font>
      <b/>
      <sz val="10"/>
      <name val="Arial Cyr"/>
      <family val="2"/>
    </font>
    <font>
      <b/>
      <sz val="10"/>
      <name val="Times New Roman"/>
      <family val="1"/>
    </font>
    <font>
      <sz val="8"/>
      <name val="Arial"/>
      <family val="2"/>
    </font>
    <font>
      <sz val="9"/>
      <name val="Arial Cyr"/>
      <family val="0"/>
    </font>
    <font>
      <i/>
      <sz val="8"/>
      <name val="Arial Cyr"/>
      <family val="0"/>
    </font>
    <font>
      <b/>
      <i/>
      <sz val="9"/>
      <name val="Arial"/>
      <family val="2"/>
    </font>
    <font>
      <b/>
      <i/>
      <sz val="8"/>
      <name val="Arial"/>
      <family val="2"/>
    </font>
    <font>
      <sz val="8"/>
      <name val="Arial Cyr"/>
      <family val="0"/>
    </font>
    <font>
      <b/>
      <i/>
      <sz val="9"/>
      <name val="Arial Cyr"/>
      <family val="2"/>
    </font>
    <font>
      <b/>
      <sz val="8"/>
      <name val="Arial"/>
      <family val="2"/>
    </font>
    <font>
      <b/>
      <i/>
      <sz val="12"/>
      <name val="Arial"/>
      <family val="2"/>
    </font>
    <font>
      <sz val="12"/>
      <color indexed="9"/>
      <name val="Times New Roman"/>
      <family val="1"/>
    </font>
    <font>
      <sz val="9"/>
      <name val="Times New Roman"/>
      <family val="1"/>
    </font>
    <font>
      <i/>
      <sz val="9"/>
      <name val="Arial Cyr"/>
      <family val="0"/>
    </font>
    <font>
      <sz val="9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vertAlign val="superscript"/>
      <sz val="12"/>
      <color indexed="8"/>
      <name val="Times New Roman"/>
      <family val="1"/>
    </font>
    <font>
      <b/>
      <i/>
      <sz val="8"/>
      <name val="Tahoma"/>
      <family val="2"/>
    </font>
    <font>
      <sz val="11"/>
      <name val="Calibri"/>
      <family val="2"/>
    </font>
    <font>
      <sz val="8"/>
      <color indexed="8"/>
      <name val="Cambria"/>
      <family val="2"/>
    </font>
    <font>
      <sz val="10"/>
      <color indexed="8"/>
      <name val="Arial"/>
      <family val="2"/>
    </font>
    <font>
      <sz val="10"/>
      <color indexed="8"/>
      <name val="Arial Cyr"/>
      <family val="2"/>
    </font>
    <font>
      <sz val="10"/>
      <color indexed="8"/>
      <name val="Cambria"/>
      <family val="2"/>
    </font>
    <font>
      <b/>
      <sz val="8"/>
      <color indexed="8"/>
      <name val="Cambria"/>
      <family val="2"/>
    </font>
    <font>
      <b/>
      <sz val="12"/>
      <color indexed="8"/>
      <name val="Arial Cyr"/>
      <family val="2"/>
    </font>
    <font>
      <b/>
      <sz val="10"/>
      <color indexed="8"/>
      <name val="Cambria"/>
      <family val="2"/>
    </font>
    <font>
      <b/>
      <sz val="10"/>
      <color indexed="8"/>
      <name val="Arial CYR"/>
      <family val="2"/>
    </font>
    <font>
      <sz val="9"/>
      <color indexed="8"/>
      <name val="Cambria"/>
      <family val="2"/>
    </font>
    <font>
      <i/>
      <sz val="9"/>
      <color indexed="8"/>
      <name val="Cambria"/>
      <family val="2"/>
    </font>
    <font>
      <i/>
      <sz val="10"/>
      <color indexed="8"/>
      <name val="Arial Cyr"/>
      <family val="2"/>
    </font>
    <font>
      <sz val="6"/>
      <color indexed="8"/>
      <name val="Cambria"/>
      <family val="2"/>
    </font>
    <font>
      <sz val="7"/>
      <color indexed="8"/>
      <name val="Cambria"/>
      <family val="2"/>
    </font>
    <font>
      <sz val="12"/>
      <color indexed="62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b/>
      <sz val="11"/>
      <color indexed="8"/>
      <name val="Calibri"/>
      <family val="2"/>
    </font>
    <font>
      <sz val="14"/>
      <color indexed="8"/>
      <name val="Times New Roman"/>
      <family val="1"/>
    </font>
    <font>
      <sz val="8"/>
      <color indexed="10"/>
      <name val="Arial Cyr"/>
      <family val="2"/>
    </font>
    <font>
      <i/>
      <sz val="8"/>
      <color indexed="8"/>
      <name val="Arial Cyr"/>
      <family val="0"/>
    </font>
    <font>
      <sz val="9"/>
      <color indexed="10"/>
      <name val="Arial Cyr"/>
      <family val="0"/>
    </font>
    <font>
      <sz val="9"/>
      <color indexed="8"/>
      <name val="Arial Cyr"/>
      <family val="0"/>
    </font>
    <font>
      <sz val="9"/>
      <color indexed="10"/>
      <name val="Arial"/>
      <family val="2"/>
    </font>
    <font>
      <i/>
      <sz val="10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8"/>
      <color rgb="FF000000"/>
      <name val="Cambria"/>
      <family val="2"/>
    </font>
    <font>
      <sz val="10"/>
      <color rgb="FF000000"/>
      <name val="Arial"/>
      <family val="2"/>
    </font>
    <font>
      <sz val="10"/>
      <color rgb="FF000000"/>
      <name val="Arial Cyr"/>
      <family val="2"/>
    </font>
    <font>
      <sz val="10"/>
      <color rgb="FF000000"/>
      <name val="Cambria"/>
      <family val="2"/>
    </font>
    <font>
      <b/>
      <sz val="8"/>
      <color rgb="FF000000"/>
      <name val="Cambria"/>
      <family val="2"/>
    </font>
    <font>
      <b/>
      <sz val="12"/>
      <color rgb="FF000000"/>
      <name val="Arial Cyr"/>
      <family val="2"/>
    </font>
    <font>
      <b/>
      <sz val="10"/>
      <color rgb="FF000000"/>
      <name val="Cambria"/>
      <family val="2"/>
    </font>
    <font>
      <b/>
      <sz val="10"/>
      <color rgb="FF000000"/>
      <name val="Arial CYR"/>
      <family val="2"/>
    </font>
    <font>
      <sz val="9"/>
      <color rgb="FF000000"/>
      <name val="Cambria"/>
      <family val="2"/>
    </font>
    <font>
      <i/>
      <sz val="9"/>
      <color rgb="FF000000"/>
      <name val="Cambria"/>
      <family val="2"/>
    </font>
    <font>
      <i/>
      <sz val="10"/>
      <color rgb="FF000000"/>
      <name val="Arial Cyr"/>
      <family val="2"/>
    </font>
    <font>
      <sz val="6"/>
      <color rgb="FF000000"/>
      <name val="Cambria"/>
      <family val="2"/>
    </font>
    <font>
      <sz val="7"/>
      <color rgb="FF000000"/>
      <name val="Cambria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1"/>
      <color theme="1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b/>
      <sz val="11"/>
      <color theme="1"/>
      <name val="Calibri"/>
      <family val="2"/>
    </font>
    <font>
      <sz val="14"/>
      <color theme="1"/>
      <name val="Times New Roman"/>
      <family val="1"/>
    </font>
    <font>
      <sz val="8"/>
      <color rgb="FFFF0000"/>
      <name val="Arial Cyr"/>
      <family val="2"/>
    </font>
    <font>
      <i/>
      <sz val="8"/>
      <color theme="1"/>
      <name val="Arial Cyr"/>
      <family val="0"/>
    </font>
    <font>
      <sz val="9"/>
      <color rgb="FFFF0000"/>
      <name val="Arial Cyr"/>
      <family val="0"/>
    </font>
    <font>
      <sz val="9"/>
      <color theme="1"/>
      <name val="Arial Cyr"/>
      <family val="0"/>
    </font>
    <font>
      <sz val="9"/>
      <color rgb="FFFF0000"/>
      <name val="Arial"/>
      <family val="2"/>
    </font>
    <font>
      <i/>
      <sz val="10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sz val="14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b/>
      <i/>
      <u val="single"/>
      <sz val="12"/>
      <color theme="1"/>
      <name val="Times New Roman"/>
      <family val="1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/>
      <bottom style="hair">
        <color rgb="FF000000"/>
      </bottom>
    </border>
    <border>
      <left/>
      <right/>
      <top style="hair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</borders>
  <cellStyleXfs count="1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37" fillId="0" borderId="0">
      <alignment/>
      <protection/>
    </xf>
    <xf numFmtId="0" fontId="37" fillId="0" borderId="0">
      <alignment/>
      <protection/>
    </xf>
    <xf numFmtId="1" fontId="78" fillId="0" borderId="1">
      <alignment horizontal="center" vertical="center" wrapText="1" shrinkToFit="1"/>
      <protection/>
    </xf>
    <xf numFmtId="0" fontId="79" fillId="0" borderId="0">
      <alignment vertical="center"/>
      <protection/>
    </xf>
    <xf numFmtId="0" fontId="80" fillId="0" borderId="0">
      <alignment/>
      <protection/>
    </xf>
    <xf numFmtId="0" fontId="79" fillId="0" borderId="0">
      <alignment vertical="center"/>
      <protection/>
    </xf>
    <xf numFmtId="0" fontId="80" fillId="0" borderId="0">
      <alignment/>
      <protection/>
    </xf>
    <xf numFmtId="0" fontId="37" fillId="0" borderId="0">
      <alignment/>
      <protection/>
    </xf>
    <xf numFmtId="0" fontId="81" fillId="20" borderId="0">
      <alignment vertical="center"/>
      <protection/>
    </xf>
    <xf numFmtId="0" fontId="80" fillId="20" borderId="0">
      <alignment/>
      <protection/>
    </xf>
    <xf numFmtId="0" fontId="82" fillId="0" borderId="0">
      <alignment horizontal="center" vertical="center"/>
      <protection/>
    </xf>
    <xf numFmtId="0" fontId="83" fillId="0" borderId="0">
      <alignment horizontal="center" wrapText="1"/>
      <protection/>
    </xf>
    <xf numFmtId="0" fontId="84" fillId="0" borderId="0">
      <alignment horizontal="center" vertical="center"/>
      <protection/>
    </xf>
    <xf numFmtId="0" fontId="80" fillId="0" borderId="0">
      <alignment/>
      <protection/>
    </xf>
    <xf numFmtId="0" fontId="84" fillId="0" borderId="0">
      <alignment vertical="center"/>
      <protection/>
    </xf>
    <xf numFmtId="0" fontId="80" fillId="20" borderId="2">
      <alignment/>
      <protection/>
    </xf>
    <xf numFmtId="0" fontId="78" fillId="0" borderId="0">
      <alignment horizontal="center" vertical="center"/>
      <protection/>
    </xf>
    <xf numFmtId="0" fontId="85" fillId="0" borderId="3">
      <alignment horizontal="center" vertical="center" wrapText="1"/>
      <protection/>
    </xf>
    <xf numFmtId="0" fontId="78" fillId="0" borderId="0">
      <alignment vertical="center"/>
      <protection/>
    </xf>
    <xf numFmtId="0" fontId="80" fillId="0" borderId="4">
      <alignment/>
      <protection/>
    </xf>
    <xf numFmtId="0" fontId="78" fillId="0" borderId="0">
      <alignment horizontal="left" vertical="center" wrapText="1"/>
      <protection/>
    </xf>
    <xf numFmtId="0" fontId="80" fillId="20" borderId="5">
      <alignment/>
      <protection/>
    </xf>
    <xf numFmtId="0" fontId="82" fillId="0" borderId="0">
      <alignment horizontal="center" vertical="center" wrapText="1"/>
      <protection/>
    </xf>
    <xf numFmtId="49" fontId="80" fillId="0" borderId="3">
      <alignment horizontal="left" shrinkToFit="1"/>
      <protection/>
    </xf>
    <xf numFmtId="0" fontId="78" fillId="0" borderId="2">
      <alignment vertical="center"/>
      <protection/>
    </xf>
    <xf numFmtId="4" fontId="80" fillId="0" borderId="3">
      <alignment horizontal="right" vertical="top" shrinkToFit="1"/>
      <protection/>
    </xf>
    <xf numFmtId="0" fontId="78" fillId="0" borderId="3">
      <alignment horizontal="center" vertical="center" wrapText="1"/>
      <protection/>
    </xf>
    <xf numFmtId="0" fontId="80" fillId="20" borderId="6">
      <alignment/>
      <protection/>
    </xf>
    <xf numFmtId="0" fontId="78" fillId="0" borderId="7">
      <alignment horizontal="center" vertical="center" wrapText="1"/>
      <protection/>
    </xf>
    <xf numFmtId="49" fontId="80" fillId="21" borderId="3">
      <alignment horizontal="left" shrinkToFit="1"/>
      <protection/>
    </xf>
    <xf numFmtId="0" fontId="81" fillId="20" borderId="8">
      <alignment vertical="center"/>
      <protection/>
    </xf>
    <xf numFmtId="4" fontId="80" fillId="22" borderId="3">
      <alignment horizontal="right" vertical="top" shrinkToFit="1"/>
      <protection/>
    </xf>
    <xf numFmtId="49" fontId="86" fillId="0" borderId="3">
      <alignment vertical="center" wrapText="1"/>
      <protection/>
    </xf>
    <xf numFmtId="0" fontId="85" fillId="23" borderId="3">
      <alignment horizontal="left"/>
      <protection/>
    </xf>
    <xf numFmtId="0" fontId="81" fillId="20" borderId="5">
      <alignment vertical="center"/>
      <protection/>
    </xf>
    <xf numFmtId="4" fontId="85" fillId="24" borderId="3">
      <alignment horizontal="right" vertical="top" shrinkToFit="1"/>
      <protection/>
    </xf>
    <xf numFmtId="49" fontId="87" fillId="0" borderId="9">
      <alignment horizontal="left" vertical="center" wrapText="1" indent="1"/>
      <protection/>
    </xf>
    <xf numFmtId="0" fontId="88" fillId="0" borderId="0">
      <alignment wrapText="1"/>
      <protection/>
    </xf>
    <xf numFmtId="0" fontId="81" fillId="20" borderId="10">
      <alignment vertical="center"/>
      <protection/>
    </xf>
    <xf numFmtId="0" fontId="81" fillId="0" borderId="0">
      <alignment vertical="center"/>
      <protection/>
    </xf>
    <xf numFmtId="0" fontId="86" fillId="0" borderId="0">
      <alignment horizontal="left" vertical="center" wrapText="1"/>
      <protection/>
    </xf>
    <xf numFmtId="0" fontId="82" fillId="0" borderId="0">
      <alignment vertical="center"/>
      <protection/>
    </xf>
    <xf numFmtId="0" fontId="78" fillId="0" borderId="0">
      <alignment vertical="center" wrapText="1"/>
      <protection/>
    </xf>
    <xf numFmtId="0" fontId="78" fillId="0" borderId="2">
      <alignment horizontal="left" vertical="center" wrapText="1"/>
      <protection/>
    </xf>
    <xf numFmtId="0" fontId="78" fillId="0" borderId="6">
      <alignment horizontal="left" vertical="center" wrapText="1"/>
      <protection/>
    </xf>
    <xf numFmtId="0" fontId="78" fillId="0" borderId="5">
      <alignment vertical="center" wrapText="1"/>
      <protection/>
    </xf>
    <xf numFmtId="0" fontId="78" fillId="0" borderId="11">
      <alignment horizontal="center" vertical="center" wrapText="1"/>
      <protection/>
    </xf>
    <xf numFmtId="1" fontId="86" fillId="0" borderId="3">
      <alignment horizontal="center" vertical="center" shrinkToFit="1"/>
      <protection locked="0"/>
    </xf>
    <xf numFmtId="0" fontId="81" fillId="20" borderId="6">
      <alignment vertical="center"/>
      <protection/>
    </xf>
    <xf numFmtId="1" fontId="87" fillId="0" borderId="3">
      <alignment horizontal="center" vertical="center" shrinkToFit="1"/>
      <protection/>
    </xf>
    <xf numFmtId="0" fontId="81" fillId="20" borderId="0">
      <alignment vertical="center" shrinkToFit="1"/>
      <protection/>
    </xf>
    <xf numFmtId="49" fontId="78" fillId="0" borderId="0">
      <alignment vertical="center" wrapText="1"/>
      <protection/>
    </xf>
    <xf numFmtId="49" fontId="78" fillId="0" borderId="5">
      <alignment vertical="center" wrapText="1"/>
      <protection/>
    </xf>
    <xf numFmtId="4" fontId="86" fillId="0" borderId="3">
      <alignment horizontal="right" vertical="center" shrinkToFit="1"/>
      <protection locked="0"/>
    </xf>
    <xf numFmtId="4" fontId="87" fillId="0" borderId="3">
      <alignment horizontal="right" vertical="center" shrinkToFit="1"/>
      <protection/>
    </xf>
    <xf numFmtId="0" fontId="89" fillId="0" borderId="0">
      <alignment horizontal="center" vertical="center" wrapText="1"/>
      <protection/>
    </xf>
    <xf numFmtId="0" fontId="78" fillId="0" borderId="12">
      <alignment vertical="center"/>
      <protection/>
    </xf>
    <xf numFmtId="0" fontId="78" fillId="0" borderId="13">
      <alignment horizontal="right" vertical="center"/>
      <protection/>
    </xf>
    <xf numFmtId="0" fontId="78" fillId="0" borderId="2">
      <alignment horizontal="right" vertical="center"/>
      <protection/>
    </xf>
    <xf numFmtId="0" fontId="78" fillId="0" borderId="11">
      <alignment horizontal="center" vertical="center"/>
      <protection/>
    </xf>
    <xf numFmtId="49" fontId="78" fillId="0" borderId="14">
      <alignment horizontal="center" vertical="center"/>
      <protection/>
    </xf>
    <xf numFmtId="0" fontId="78" fillId="0" borderId="1">
      <alignment horizontal="center" vertical="center"/>
      <protection/>
    </xf>
    <xf numFmtId="1" fontId="78" fillId="0" borderId="1">
      <alignment horizontal="center" vertical="center"/>
      <protection/>
    </xf>
    <xf numFmtId="1" fontId="78" fillId="0" borderId="1">
      <alignment horizontal="center" vertical="center" shrinkToFit="1"/>
      <protection/>
    </xf>
    <xf numFmtId="49" fontId="78" fillId="0" borderId="1">
      <alignment horizontal="center" vertical="center"/>
      <protection/>
    </xf>
    <xf numFmtId="0" fontId="78" fillId="0" borderId="15">
      <alignment horizontal="center" vertical="center"/>
      <protection/>
    </xf>
    <xf numFmtId="0" fontId="78" fillId="0" borderId="16">
      <alignment vertical="center"/>
      <protection/>
    </xf>
    <xf numFmtId="0" fontId="78" fillId="0" borderId="3">
      <alignment horizontal="center" vertical="center" wrapText="1"/>
      <protection/>
    </xf>
    <xf numFmtId="0" fontId="78" fillId="0" borderId="17">
      <alignment horizontal="center" vertical="center" wrapText="1"/>
      <protection/>
    </xf>
    <xf numFmtId="0" fontId="90" fillId="0" borderId="2">
      <alignment horizontal="right" vertical="center"/>
      <protection/>
    </xf>
    <xf numFmtId="0" fontId="77" fillId="25" borderId="0" applyNumberFormat="0" applyBorder="0" applyAlignment="0" applyProtection="0"/>
    <xf numFmtId="0" fontId="77" fillId="26" borderId="0" applyNumberFormat="0" applyBorder="0" applyAlignment="0" applyProtection="0"/>
    <xf numFmtId="0" fontId="77" fillId="27" borderId="0" applyNumberFormat="0" applyBorder="0" applyAlignment="0" applyProtection="0"/>
    <xf numFmtId="0" fontId="77" fillId="28" borderId="0" applyNumberFormat="0" applyBorder="0" applyAlignment="0" applyProtection="0"/>
    <xf numFmtId="0" fontId="77" fillId="29" borderId="0" applyNumberFormat="0" applyBorder="0" applyAlignment="0" applyProtection="0"/>
    <xf numFmtId="0" fontId="77" fillId="30" borderId="0" applyNumberFormat="0" applyBorder="0" applyAlignment="0" applyProtection="0"/>
    <xf numFmtId="0" fontId="91" fillId="31" borderId="18" applyNumberFormat="0" applyAlignment="0" applyProtection="0"/>
    <xf numFmtId="0" fontId="92" fillId="32" borderId="19" applyNumberFormat="0" applyAlignment="0" applyProtection="0"/>
    <xf numFmtId="0" fontId="93" fillId="32" borderId="18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4" fillId="0" borderId="20" applyNumberFormat="0" applyFill="0" applyAlignment="0" applyProtection="0"/>
    <xf numFmtId="0" fontId="95" fillId="0" borderId="21" applyNumberFormat="0" applyFill="0" applyAlignment="0" applyProtection="0"/>
    <xf numFmtId="0" fontId="96" fillId="0" borderId="22" applyNumberFormat="0" applyFill="0" applyAlignment="0" applyProtection="0"/>
    <xf numFmtId="0" fontId="96" fillId="0" borderId="0" applyNumberFormat="0" applyFill="0" applyBorder="0" applyAlignment="0" applyProtection="0"/>
    <xf numFmtId="0" fontId="97" fillId="0" borderId="23" applyNumberFormat="0" applyFill="0" applyAlignment="0" applyProtection="0"/>
    <xf numFmtId="0" fontId="98" fillId="33" borderId="24" applyNumberFormat="0" applyAlignment="0" applyProtection="0"/>
    <xf numFmtId="0" fontId="99" fillId="0" borderId="0" applyNumberFormat="0" applyFill="0" applyBorder="0" applyAlignment="0" applyProtection="0"/>
    <xf numFmtId="0" fontId="100" fillId="34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76" fillId="0" borderId="0">
      <alignment/>
      <protection/>
    </xf>
    <xf numFmtId="0" fontId="0" fillId="0" borderId="0">
      <alignment/>
      <protection/>
    </xf>
    <xf numFmtId="0" fontId="101" fillId="0" borderId="0">
      <alignment/>
      <protection/>
    </xf>
    <xf numFmtId="0" fontId="11" fillId="0" borderId="0">
      <alignment/>
      <protection/>
    </xf>
    <xf numFmtId="0" fontId="14" fillId="0" borderId="0">
      <alignment/>
      <protection/>
    </xf>
    <xf numFmtId="0" fontId="102" fillId="35" borderId="0" applyNumberFormat="0" applyBorder="0" applyAlignment="0" applyProtection="0"/>
    <xf numFmtId="0" fontId="103" fillId="0" borderId="0" applyNumberFormat="0" applyFill="0" applyBorder="0" applyAlignment="0" applyProtection="0"/>
    <xf numFmtId="0" fontId="0" fillId="36" borderId="25" applyNumberFormat="0" applyFont="0" applyAlignment="0" applyProtection="0"/>
    <xf numFmtId="9" fontId="0" fillId="0" borderId="0" applyFont="0" applyFill="0" applyBorder="0" applyAlignment="0" applyProtection="0"/>
    <xf numFmtId="0" fontId="104" fillId="0" borderId="26" applyNumberFormat="0" applyFill="0" applyAlignment="0" applyProtection="0"/>
    <xf numFmtId="0" fontId="14" fillId="0" borderId="0">
      <alignment/>
      <protection/>
    </xf>
    <xf numFmtId="0" fontId="10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106" fillId="37" borderId="0" applyNumberFormat="0" applyBorder="0" applyAlignment="0" applyProtection="0"/>
  </cellStyleXfs>
  <cellXfs count="433">
    <xf numFmtId="0" fontId="0" fillId="0" borderId="0" xfId="0" applyFont="1" applyAlignment="1">
      <alignment/>
    </xf>
    <xf numFmtId="0" fontId="76" fillId="0" borderId="0" xfId="138">
      <alignment/>
      <protection/>
    </xf>
    <xf numFmtId="0" fontId="1" fillId="0" borderId="0" xfId="139" applyFont="1" applyBorder="1" applyAlignment="1">
      <alignment vertical="top" wrapText="1"/>
      <protection/>
    </xf>
    <xf numFmtId="0" fontId="1" fillId="0" borderId="27" xfId="139" applyFont="1" applyBorder="1" applyAlignment="1">
      <alignment vertical="top" wrapText="1"/>
      <protection/>
    </xf>
    <xf numFmtId="0" fontId="1" fillId="0" borderId="0" xfId="139" applyFont="1" applyBorder="1" applyAlignment="1">
      <alignment horizontal="right" vertical="top"/>
      <protection/>
    </xf>
    <xf numFmtId="0" fontId="1" fillId="0" borderId="28" xfId="139" applyFont="1" applyBorder="1" applyAlignment="1">
      <alignment horizontal="center" vertical="center" wrapText="1"/>
      <protection/>
    </xf>
    <xf numFmtId="0" fontId="2" fillId="0" borderId="28" xfId="139" applyFont="1" applyBorder="1">
      <alignment/>
      <protection/>
    </xf>
    <xf numFmtId="172" fontId="2" fillId="0" borderId="28" xfId="139" applyNumberFormat="1" applyFont="1" applyBorder="1" applyAlignment="1">
      <alignment horizontal="right" vertical="top" wrapText="1"/>
      <protection/>
    </xf>
    <xf numFmtId="0" fontId="2" fillId="0" borderId="28" xfId="139" applyFont="1" applyBorder="1" applyAlignment="1">
      <alignment vertical="top" wrapText="1"/>
      <protection/>
    </xf>
    <xf numFmtId="172" fontId="2" fillId="0" borderId="28" xfId="157" applyNumberFormat="1" applyFont="1" applyBorder="1" applyAlignment="1">
      <alignment horizontal="right"/>
    </xf>
    <xf numFmtId="0" fontId="1" fillId="0" borderId="28" xfId="139" applyFont="1" applyBorder="1" applyAlignment="1">
      <alignment vertical="top" wrapText="1"/>
      <protection/>
    </xf>
    <xf numFmtId="172" fontId="1" fillId="0" borderId="28" xfId="157" applyNumberFormat="1" applyFont="1" applyBorder="1" applyAlignment="1">
      <alignment horizontal="right"/>
    </xf>
    <xf numFmtId="0" fontId="1" fillId="0" borderId="28" xfId="139" applyFont="1" applyFill="1" applyBorder="1" applyAlignment="1">
      <alignment vertical="top" wrapText="1"/>
      <protection/>
    </xf>
    <xf numFmtId="0" fontId="1" fillId="0" borderId="28" xfId="0" applyFont="1" applyBorder="1" applyAlignment="1">
      <alignment vertical="top" wrapText="1"/>
    </xf>
    <xf numFmtId="0" fontId="1" fillId="0" borderId="28" xfId="139" applyFont="1" applyBorder="1" applyAlignment="1">
      <alignment horizontal="left" vertical="top" wrapText="1"/>
      <protection/>
    </xf>
    <xf numFmtId="0" fontId="5" fillId="0" borderId="0" xfId="138" applyFont="1">
      <alignment/>
      <protection/>
    </xf>
    <xf numFmtId="0" fontId="7" fillId="0" borderId="0" xfId="138" applyFont="1">
      <alignment/>
      <protection/>
    </xf>
    <xf numFmtId="172" fontId="5" fillId="0" borderId="28" xfId="157" applyNumberFormat="1" applyFont="1" applyBorder="1" applyAlignment="1">
      <alignment horizontal="right"/>
    </xf>
    <xf numFmtId="0" fontId="97" fillId="0" borderId="0" xfId="0" applyFont="1" applyAlignment="1">
      <alignment horizontal="justify" vertical="top" wrapText="1"/>
    </xf>
    <xf numFmtId="172" fontId="6" fillId="0" borderId="28" xfId="157" applyNumberFormat="1" applyFont="1" applyBorder="1" applyAlignment="1">
      <alignment horizontal="right"/>
    </xf>
    <xf numFmtId="172" fontId="1" fillId="0" borderId="28" xfId="157" applyNumberFormat="1" applyFont="1" applyFill="1" applyBorder="1" applyAlignment="1">
      <alignment horizontal="right"/>
    </xf>
    <xf numFmtId="0" fontId="2" fillId="0" borderId="28" xfId="139" applyFont="1" applyFill="1" applyBorder="1" applyAlignment="1">
      <alignment vertical="top" wrapText="1"/>
      <protection/>
    </xf>
    <xf numFmtId="172" fontId="2" fillId="0" borderId="28" xfId="157" applyNumberFormat="1" applyFont="1" applyFill="1" applyBorder="1" applyAlignment="1">
      <alignment horizontal="right"/>
    </xf>
    <xf numFmtId="172" fontId="76" fillId="0" borderId="0" xfId="138" applyNumberFormat="1">
      <alignment/>
      <protection/>
    </xf>
    <xf numFmtId="172" fontId="5" fillId="0" borderId="28" xfId="157" applyNumberFormat="1" applyFont="1" applyFill="1" applyBorder="1" applyAlignment="1">
      <alignment horizontal="right"/>
    </xf>
    <xf numFmtId="0" fontId="2" fillId="0" borderId="28" xfId="0" applyFont="1" applyBorder="1" applyAlignment="1">
      <alignment vertical="top"/>
    </xf>
    <xf numFmtId="0" fontId="0" fillId="0" borderId="0" xfId="0" applyAlignment="1">
      <alignment horizontal="center"/>
    </xf>
    <xf numFmtId="0" fontId="8" fillId="0" borderId="0" xfId="0" applyFont="1" applyAlignment="1">
      <alignment horizontal="right"/>
    </xf>
    <xf numFmtId="0" fontId="2" fillId="0" borderId="28" xfId="0" applyFont="1" applyBorder="1" applyAlignment="1">
      <alignment horizontal="left" wrapText="1"/>
    </xf>
    <xf numFmtId="0" fontId="1" fillId="0" borderId="28" xfId="0" applyFont="1" applyBorder="1" applyAlignment="1">
      <alignment horizontal="center" wrapText="1"/>
    </xf>
    <xf numFmtId="49" fontId="1" fillId="0" borderId="28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0" fontId="2" fillId="0" borderId="28" xfId="0" applyFont="1" applyFill="1" applyBorder="1" applyAlignment="1">
      <alignment horizontal="left" wrapText="1"/>
    </xf>
    <xf numFmtId="0" fontId="2" fillId="0" borderId="28" xfId="0" applyFont="1" applyBorder="1" applyAlignment="1">
      <alignment horizontal="left" vertical="top" wrapText="1"/>
    </xf>
    <xf numFmtId="0" fontId="1" fillId="0" borderId="28" xfId="122" applyFont="1" applyBorder="1" applyAlignment="1">
      <alignment horizontal="left" vertical="top" wrapText="1"/>
      <protection/>
    </xf>
    <xf numFmtId="0" fontId="1" fillId="0" borderId="28" xfId="0" applyFont="1" applyFill="1" applyBorder="1" applyAlignment="1">
      <alignment horizontal="left" vertical="top" wrapText="1"/>
    </xf>
    <xf numFmtId="172" fontId="5" fillId="0" borderId="28" xfId="0" applyNumberFormat="1" applyFont="1" applyBorder="1" applyAlignment="1">
      <alignment horizontal="right" wrapText="1"/>
    </xf>
    <xf numFmtId="172" fontId="6" fillId="0" borderId="28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horizontal="center"/>
    </xf>
    <xf numFmtId="0" fontId="1" fillId="0" borderId="28" xfId="0" applyFont="1" applyBorder="1" applyAlignment="1">
      <alignment horizontal="center" vertical="center" wrapText="1"/>
    </xf>
    <xf numFmtId="49" fontId="1" fillId="0" borderId="28" xfId="0" applyNumberFormat="1" applyFont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49" fontId="5" fillId="0" borderId="28" xfId="0" applyNumberFormat="1" applyFont="1" applyBorder="1" applyAlignment="1">
      <alignment horizontal="left" wrapText="1"/>
    </xf>
    <xf numFmtId="172" fontId="6" fillId="0" borderId="28" xfId="0" applyNumberFormat="1" applyFont="1" applyBorder="1" applyAlignment="1">
      <alignment horizontal="right" wrapText="1"/>
    </xf>
    <xf numFmtId="49" fontId="1" fillId="0" borderId="28" xfId="0" applyNumberFormat="1" applyFont="1" applyBorder="1" applyAlignment="1">
      <alignment horizontal="left" wrapText="1"/>
    </xf>
    <xf numFmtId="0" fontId="2" fillId="0" borderId="28" xfId="0" applyFont="1" applyFill="1" applyBorder="1" applyAlignment="1">
      <alignment horizontal="left" vertical="top" wrapText="1"/>
    </xf>
    <xf numFmtId="49" fontId="2" fillId="0" borderId="28" xfId="0" applyNumberFormat="1" applyFont="1" applyBorder="1" applyAlignment="1">
      <alignment horizontal="left" wrapText="1"/>
    </xf>
    <xf numFmtId="0" fontId="107" fillId="0" borderId="0" xfId="0" applyFont="1" applyAlignment="1">
      <alignment/>
    </xf>
    <xf numFmtId="0" fontId="2" fillId="0" borderId="28" xfId="122" applyFont="1" applyBorder="1" applyAlignment="1">
      <alignment horizontal="left" vertical="top" wrapText="1"/>
      <protection/>
    </xf>
    <xf numFmtId="49" fontId="5" fillId="0" borderId="28" xfId="0" applyNumberFormat="1" applyFont="1" applyFill="1" applyBorder="1" applyAlignment="1">
      <alignment horizontal="left" wrapText="1"/>
    </xf>
    <xf numFmtId="172" fontId="5" fillId="0" borderId="28" xfId="0" applyNumberFormat="1" applyFont="1" applyFill="1" applyBorder="1" applyAlignment="1">
      <alignment horizontal="right" wrapText="1"/>
    </xf>
    <xf numFmtId="172" fontId="0" fillId="0" borderId="0" xfId="0" applyNumberFormat="1" applyAlignment="1">
      <alignment horizontal="center"/>
    </xf>
    <xf numFmtId="0" fontId="1" fillId="0" borderId="28" xfId="139" applyFont="1" applyBorder="1">
      <alignment/>
      <protection/>
    </xf>
    <xf numFmtId="172" fontId="1" fillId="0" borderId="28" xfId="139" applyNumberFormat="1" applyFont="1" applyBorder="1" applyAlignment="1">
      <alignment horizontal="right" wrapText="1"/>
      <protection/>
    </xf>
    <xf numFmtId="172" fontId="1" fillId="0" borderId="28" xfId="158" applyNumberFormat="1" applyFont="1" applyFill="1" applyBorder="1" applyAlignment="1">
      <alignment horizontal="right"/>
    </xf>
    <xf numFmtId="172" fontId="1" fillId="0" borderId="28" xfId="159" applyNumberFormat="1" applyFont="1" applyBorder="1" applyAlignment="1">
      <alignment horizontal="right"/>
    </xf>
    <xf numFmtId="172" fontId="1" fillId="0" borderId="28" xfId="160" applyNumberFormat="1" applyFont="1" applyBorder="1" applyAlignment="1">
      <alignment horizontal="right"/>
    </xf>
    <xf numFmtId="172" fontId="1" fillId="0" borderId="28" xfId="161" applyNumberFormat="1" applyFont="1" applyBorder="1" applyAlignment="1">
      <alignment horizontal="right"/>
    </xf>
    <xf numFmtId="172" fontId="1" fillId="0" borderId="28" xfId="162" applyNumberFormat="1" applyFont="1" applyBorder="1" applyAlignment="1">
      <alignment horizontal="right"/>
    </xf>
    <xf numFmtId="172" fontId="1" fillId="0" borderId="28" xfId="153" applyNumberFormat="1" applyFont="1" applyBorder="1" applyAlignment="1">
      <alignment horizontal="right"/>
    </xf>
    <xf numFmtId="172" fontId="1" fillId="0" borderId="28" xfId="154" applyNumberFormat="1" applyFont="1" applyBorder="1" applyAlignment="1">
      <alignment horizontal="right"/>
    </xf>
    <xf numFmtId="0" fontId="0" fillId="0" borderId="0" xfId="0" applyAlignment="1">
      <alignment/>
    </xf>
    <xf numFmtId="0" fontId="1" fillId="0" borderId="28" xfId="0" applyFont="1" applyBorder="1" applyAlignment="1">
      <alignment horizontal="left" wrapText="1"/>
    </xf>
    <xf numFmtId="0" fontId="2" fillId="0" borderId="28" xfId="0" applyFont="1" applyBorder="1" applyAlignment="1">
      <alignment vertical="top" wrapText="1"/>
    </xf>
    <xf numFmtId="172" fontId="1" fillId="0" borderId="28" xfId="155" applyNumberFormat="1" applyFont="1" applyBorder="1" applyAlignment="1">
      <alignment horizontal="right"/>
    </xf>
    <xf numFmtId="172" fontId="1" fillId="0" borderId="28" xfId="0" applyNumberFormat="1" applyFont="1" applyBorder="1" applyAlignment="1">
      <alignment/>
    </xf>
    <xf numFmtId="0" fontId="6" fillId="0" borderId="28" xfId="0" applyFont="1" applyBorder="1" applyAlignment="1">
      <alignment horizontal="left" wrapText="1"/>
    </xf>
    <xf numFmtId="0" fontId="5" fillId="0" borderId="28" xfId="0" applyFont="1" applyBorder="1" applyAlignment="1">
      <alignment horizontal="left" wrapText="1"/>
    </xf>
    <xf numFmtId="172" fontId="5" fillId="0" borderId="28" xfId="0" applyNumberFormat="1" applyFont="1" applyBorder="1" applyAlignment="1">
      <alignment/>
    </xf>
    <xf numFmtId="172" fontId="6" fillId="0" borderId="28" xfId="0" applyNumberFormat="1" applyFont="1" applyBorder="1" applyAlignment="1">
      <alignment/>
    </xf>
    <xf numFmtId="172" fontId="2" fillId="0" borderId="28" xfId="0" applyNumberFormat="1" applyFont="1" applyBorder="1" applyAlignment="1">
      <alignment/>
    </xf>
    <xf numFmtId="0" fontId="6" fillId="0" borderId="28" xfId="0" applyFont="1" applyFill="1" applyBorder="1" applyAlignment="1">
      <alignment horizontal="left" wrapText="1"/>
    </xf>
    <xf numFmtId="0" fontId="1" fillId="0" borderId="28" xfId="0" applyFont="1" applyBorder="1" applyAlignment="1">
      <alignment horizontal="left" vertical="top" wrapText="1"/>
    </xf>
    <xf numFmtId="0" fontId="1" fillId="0" borderId="28" xfId="0" applyFont="1" applyFill="1" applyBorder="1" applyAlignment="1">
      <alignment horizontal="left" wrapText="1"/>
    </xf>
    <xf numFmtId="172" fontId="6" fillId="0" borderId="28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49" fontId="107" fillId="0" borderId="0" xfId="0" applyNumberFormat="1" applyFont="1" applyAlignment="1">
      <alignment/>
    </xf>
    <xf numFmtId="0" fontId="6" fillId="0" borderId="0" xfId="141" applyFont="1" applyAlignment="1">
      <alignment horizontal="right"/>
      <protection/>
    </xf>
    <xf numFmtId="0" fontId="10" fillId="0" borderId="0" xfId="141" applyFont="1" applyAlignment="1">
      <alignment wrapText="1"/>
      <protection/>
    </xf>
    <xf numFmtId="0" fontId="12" fillId="0" borderId="28" xfId="0" applyFont="1" applyBorder="1" applyAlignment="1">
      <alignment horizontal="left" wrapText="1"/>
    </xf>
    <xf numFmtId="49" fontId="9" fillId="0" borderId="28" xfId="0" applyNumberFormat="1" applyFont="1" applyBorder="1" applyAlignment="1">
      <alignment horizontal="left" wrapText="1"/>
    </xf>
    <xf numFmtId="172" fontId="9" fillId="0" borderId="28" xfId="0" applyNumberFormat="1" applyFont="1" applyBorder="1" applyAlignment="1">
      <alignment horizontal="right" wrapText="1"/>
    </xf>
    <xf numFmtId="0" fontId="2" fillId="0" borderId="28" xfId="139" applyFont="1" applyBorder="1" applyAlignment="1">
      <alignment horizontal="center" vertical="center" wrapText="1"/>
      <protection/>
    </xf>
    <xf numFmtId="0" fontId="97" fillId="0" borderId="28" xfId="138" applyFont="1" applyBorder="1" applyAlignment="1">
      <alignment horizontal="center" vertical="center" wrapText="1"/>
      <protection/>
    </xf>
    <xf numFmtId="0" fontId="97" fillId="0" borderId="0" xfId="138" applyFont="1">
      <alignment/>
      <protection/>
    </xf>
    <xf numFmtId="0" fontId="13" fillId="0" borderId="28" xfId="141" applyFont="1" applyFill="1" applyBorder="1" applyAlignment="1">
      <alignment horizontal="center" vertical="center" wrapText="1"/>
      <protection/>
    </xf>
    <xf numFmtId="172" fontId="97" fillId="0" borderId="28" xfId="0" applyNumberFormat="1" applyFont="1" applyBorder="1" applyAlignment="1">
      <alignment/>
    </xf>
    <xf numFmtId="172" fontId="76" fillId="0" borderId="28" xfId="0" applyNumberFormat="1" applyFont="1" applyBorder="1" applyAlignment="1">
      <alignment/>
    </xf>
    <xf numFmtId="0" fontId="76" fillId="0" borderId="28" xfId="138" applyFont="1" applyBorder="1" applyAlignment="1">
      <alignment wrapText="1"/>
      <protection/>
    </xf>
    <xf numFmtId="0" fontId="101" fillId="0" borderId="28" xfId="0" applyFont="1" applyBorder="1" applyAlignment="1">
      <alignment wrapText="1"/>
    </xf>
    <xf numFmtId="0" fontId="1" fillId="0" borderId="28" xfId="122" applyFont="1" applyBorder="1" applyAlignment="1">
      <alignment vertical="top" wrapText="1"/>
      <protection/>
    </xf>
    <xf numFmtId="172" fontId="76" fillId="0" borderId="0" xfId="138" applyNumberFormat="1" applyFill="1">
      <alignment/>
      <protection/>
    </xf>
    <xf numFmtId="172" fontId="97" fillId="0" borderId="28" xfId="0" applyNumberFormat="1" applyFont="1" applyFill="1" applyBorder="1" applyAlignment="1">
      <alignment/>
    </xf>
    <xf numFmtId="0" fontId="108" fillId="0" borderId="0" xfId="0" applyFont="1" applyAlignment="1">
      <alignment/>
    </xf>
    <xf numFmtId="0" fontId="108" fillId="0" borderId="28" xfId="0" applyFont="1" applyBorder="1" applyAlignment="1">
      <alignment/>
    </xf>
    <xf numFmtId="0" fontId="108" fillId="0" borderId="0" xfId="0" applyFont="1" applyAlignment="1">
      <alignment horizontal="center"/>
    </xf>
    <xf numFmtId="0" fontId="108" fillId="0" borderId="0" xfId="0" applyFont="1" applyBorder="1" applyAlignment="1">
      <alignment horizontal="center"/>
    </xf>
    <xf numFmtId="0" fontId="108" fillId="0" borderId="0" xfId="0" applyFont="1" applyBorder="1" applyAlignment="1">
      <alignment/>
    </xf>
    <xf numFmtId="0" fontId="108" fillId="0" borderId="28" xfId="0" applyFont="1" applyBorder="1" applyAlignment="1">
      <alignment wrapText="1"/>
    </xf>
    <xf numFmtId="0" fontId="11" fillId="0" borderId="0" xfId="142" applyFont="1" applyFill="1" applyBorder="1" applyAlignment="1" applyProtection="1">
      <alignment vertical="top" wrapText="1"/>
      <protection hidden="1"/>
    </xf>
    <xf numFmtId="0" fontId="11" fillId="0" borderId="0" xfId="142" applyFont="1" applyFill="1" applyBorder="1" applyProtection="1">
      <alignment/>
      <protection hidden="1"/>
    </xf>
    <xf numFmtId="0" fontId="11" fillId="0" borderId="0" xfId="142" applyFont="1" applyFill="1" applyProtection="1">
      <alignment/>
      <protection hidden="1"/>
    </xf>
    <xf numFmtId="0" fontId="15" fillId="0" borderId="0" xfId="142" applyFont="1" applyFill="1" applyBorder="1" applyAlignment="1">
      <alignment wrapText="1"/>
      <protection/>
    </xf>
    <xf numFmtId="0" fontId="11" fillId="0" borderId="0" xfId="142" applyFont="1" applyFill="1" applyAlignment="1">
      <alignment/>
      <protection/>
    </xf>
    <xf numFmtId="0" fontId="17" fillId="0" borderId="29" xfId="142" applyFont="1" applyFill="1" applyBorder="1" applyAlignment="1" applyProtection="1">
      <alignment horizontal="center" vertical="center"/>
      <protection hidden="1"/>
    </xf>
    <xf numFmtId="0" fontId="17" fillId="0" borderId="28" xfId="142" applyFont="1" applyFill="1" applyBorder="1" applyAlignment="1" applyProtection="1">
      <alignment horizontal="center" vertical="center" wrapText="1"/>
      <protection hidden="1"/>
    </xf>
    <xf numFmtId="0" fontId="17" fillId="0" borderId="30" xfId="142" applyFont="1" applyFill="1" applyBorder="1" applyAlignment="1" applyProtection="1">
      <alignment horizontal="center" vertical="center"/>
      <protection hidden="1"/>
    </xf>
    <xf numFmtId="0" fontId="18" fillId="0" borderId="31" xfId="142" applyFont="1" applyFill="1" applyBorder="1" applyAlignment="1" applyProtection="1">
      <alignment horizontal="left" vertical="top" wrapText="1"/>
      <protection hidden="1"/>
    </xf>
    <xf numFmtId="0" fontId="18" fillId="0" borderId="28" xfId="142" applyFont="1" applyFill="1" applyBorder="1" applyAlignment="1" applyProtection="1">
      <alignment horizontal="center" vertical="center" wrapText="1"/>
      <protection hidden="1"/>
    </xf>
    <xf numFmtId="0" fontId="19" fillId="0" borderId="28" xfId="142" applyFont="1" applyFill="1" applyBorder="1" applyAlignment="1" applyProtection="1">
      <alignment horizontal="center"/>
      <protection hidden="1" locked="0"/>
    </xf>
    <xf numFmtId="2" fontId="19" fillId="0" borderId="28" xfId="142" applyNumberFormat="1" applyFont="1" applyFill="1" applyBorder="1" applyAlignment="1" applyProtection="1">
      <alignment horizontal="center"/>
      <protection hidden="1" locked="0"/>
    </xf>
    <xf numFmtId="173" fontId="19" fillId="0" borderId="28" xfId="142" applyNumberFormat="1" applyFont="1" applyFill="1" applyBorder="1" applyAlignment="1" applyProtection="1">
      <alignment horizontal="center"/>
      <protection hidden="1" locked="0"/>
    </xf>
    <xf numFmtId="173" fontId="19" fillId="0" borderId="30" xfId="142" applyNumberFormat="1" applyFont="1" applyFill="1" applyBorder="1" applyAlignment="1" applyProtection="1">
      <alignment horizontal="center"/>
      <protection hidden="1" locked="0"/>
    </xf>
    <xf numFmtId="174" fontId="20" fillId="0" borderId="28" xfId="142" applyNumberFormat="1" applyFont="1" applyFill="1" applyBorder="1" applyAlignment="1" applyProtection="1">
      <alignment horizontal="center"/>
      <protection hidden="1"/>
    </xf>
    <xf numFmtId="175" fontId="20" fillId="0" borderId="28" xfId="142" applyNumberFormat="1" applyFont="1" applyFill="1" applyBorder="1" applyAlignment="1" applyProtection="1">
      <alignment horizontal="center"/>
      <protection hidden="1"/>
    </xf>
    <xf numFmtId="175" fontId="20" fillId="0" borderId="28" xfId="142" applyNumberFormat="1" applyFont="1" applyFill="1" applyBorder="1" applyAlignment="1" applyProtection="1">
      <alignment horizontal="center" vertical="center"/>
      <protection hidden="1"/>
    </xf>
    <xf numFmtId="175" fontId="20" fillId="0" borderId="30" xfId="142" applyNumberFormat="1" applyFont="1" applyFill="1" applyBorder="1" applyAlignment="1" applyProtection="1">
      <alignment horizontal="center" vertical="center"/>
      <protection hidden="1"/>
    </xf>
    <xf numFmtId="0" fontId="18" fillId="0" borderId="31" xfId="142" applyFont="1" applyFill="1" applyBorder="1" applyAlignment="1" applyProtection="1">
      <alignment horizontal="left" vertical="center" wrapText="1"/>
      <protection hidden="1"/>
    </xf>
    <xf numFmtId="2" fontId="19" fillId="0" borderId="28" xfId="142" applyNumberFormat="1" applyFont="1" applyFill="1" applyBorder="1" applyProtection="1">
      <alignment/>
      <protection hidden="1"/>
    </xf>
    <xf numFmtId="4" fontId="19" fillId="0" borderId="28" xfId="142" applyNumberFormat="1" applyFont="1" applyFill="1" applyBorder="1" applyProtection="1">
      <alignment/>
      <protection hidden="1"/>
    </xf>
    <xf numFmtId="4" fontId="19" fillId="0" borderId="30" xfId="142" applyNumberFormat="1" applyFont="1" applyFill="1" applyBorder="1" applyProtection="1">
      <alignment/>
      <protection hidden="1"/>
    </xf>
    <xf numFmtId="174" fontId="20" fillId="0" borderId="28" xfId="142" applyNumberFormat="1" applyFont="1" applyFill="1" applyBorder="1" applyProtection="1">
      <alignment/>
      <protection hidden="1"/>
    </xf>
    <xf numFmtId="174" fontId="20" fillId="0" borderId="28" xfId="142" applyNumberFormat="1" applyFont="1" applyFill="1" applyBorder="1" applyAlignment="1" applyProtection="1">
      <alignment vertical="center"/>
      <protection hidden="1"/>
    </xf>
    <xf numFmtId="174" fontId="20" fillId="0" borderId="30" xfId="142" applyNumberFormat="1" applyFont="1" applyFill="1" applyBorder="1" applyAlignment="1" applyProtection="1">
      <alignment vertical="center"/>
      <protection hidden="1"/>
    </xf>
    <xf numFmtId="176" fontId="19" fillId="0" borderId="28" xfId="142" applyNumberFormat="1" applyFont="1" applyFill="1" applyBorder="1" applyProtection="1">
      <alignment/>
      <protection hidden="1"/>
    </xf>
    <xf numFmtId="176" fontId="19" fillId="0" borderId="30" xfId="142" applyNumberFormat="1" applyFont="1" applyFill="1" applyBorder="1" applyProtection="1">
      <alignment/>
      <protection hidden="1"/>
    </xf>
    <xf numFmtId="2" fontId="20" fillId="0" borderId="28" xfId="142" applyNumberFormat="1" applyFont="1" applyFill="1" applyBorder="1" applyProtection="1">
      <alignment/>
      <protection hidden="1"/>
    </xf>
    <xf numFmtId="176" fontId="20" fillId="0" borderId="28" xfId="142" applyNumberFormat="1" applyFont="1" applyFill="1" applyBorder="1" applyAlignment="1" applyProtection="1">
      <alignment horizontal="right"/>
      <protection hidden="1"/>
    </xf>
    <xf numFmtId="176" fontId="20" fillId="0" borderId="30" xfId="142" applyNumberFormat="1" applyFont="1" applyFill="1" applyBorder="1" applyAlignment="1" applyProtection="1">
      <alignment horizontal="right"/>
      <protection hidden="1"/>
    </xf>
    <xf numFmtId="2" fontId="19" fillId="0" borderId="28" xfId="142" applyNumberFormat="1" applyFont="1" applyFill="1" applyBorder="1" applyAlignment="1" applyProtection="1">
      <alignment horizontal="right"/>
      <protection hidden="1"/>
    </xf>
    <xf numFmtId="176" fontId="19" fillId="0" borderId="28" xfId="142" applyNumberFormat="1" applyFont="1" applyFill="1" applyBorder="1" applyAlignment="1" applyProtection="1">
      <alignment horizontal="right"/>
      <protection hidden="1"/>
    </xf>
    <xf numFmtId="176" fontId="19" fillId="0" borderId="28" xfId="142" applyNumberFormat="1" applyFont="1" applyFill="1" applyBorder="1" applyAlignment="1" applyProtection="1">
      <alignment horizontal="right"/>
      <protection hidden="1" locked="0"/>
    </xf>
    <xf numFmtId="176" fontId="19" fillId="0" borderId="30" xfId="142" applyNumberFormat="1" applyFont="1" applyFill="1" applyBorder="1" applyAlignment="1" applyProtection="1">
      <alignment horizontal="right"/>
      <protection hidden="1"/>
    </xf>
    <xf numFmtId="49" fontId="20" fillId="0" borderId="28" xfId="142" applyNumberFormat="1" applyFont="1" applyFill="1" applyBorder="1" applyAlignment="1" applyProtection="1">
      <alignment horizontal="right"/>
      <protection hidden="1"/>
    </xf>
    <xf numFmtId="175" fontId="20" fillId="0" borderId="28" xfId="142" applyNumberFormat="1" applyFont="1" applyFill="1" applyBorder="1" applyAlignment="1" applyProtection="1">
      <alignment horizontal="right"/>
      <protection hidden="1"/>
    </xf>
    <xf numFmtId="176" fontId="20" fillId="0" borderId="28" xfId="142" applyNumberFormat="1" applyFont="1" applyFill="1" applyBorder="1" applyAlignment="1" applyProtection="1">
      <alignment horizontal="right" vertical="center"/>
      <protection hidden="1"/>
    </xf>
    <xf numFmtId="174" fontId="18" fillId="0" borderId="31" xfId="142" applyNumberFormat="1" applyFont="1" applyFill="1" applyBorder="1" applyAlignment="1" applyProtection="1">
      <alignment horizontal="left" vertical="top" wrapText="1"/>
      <protection hidden="1"/>
    </xf>
    <xf numFmtId="174" fontId="18" fillId="0" borderId="28" xfId="142" applyNumberFormat="1" applyFont="1" applyFill="1" applyBorder="1" applyAlignment="1" applyProtection="1">
      <alignment horizontal="center" vertical="center" wrapText="1"/>
      <protection hidden="1"/>
    </xf>
    <xf numFmtId="174" fontId="19" fillId="0" borderId="28" xfId="142" applyNumberFormat="1" applyFont="1" applyFill="1" applyBorder="1" applyProtection="1">
      <alignment/>
      <protection hidden="1" locked="0"/>
    </xf>
    <xf numFmtId="172" fontId="19" fillId="0" borderId="28" xfId="142" applyNumberFormat="1" applyFont="1" applyFill="1" applyBorder="1" applyProtection="1">
      <alignment/>
      <protection hidden="1" locked="0"/>
    </xf>
    <xf numFmtId="172" fontId="19" fillId="0" borderId="30" xfId="142" applyNumberFormat="1" applyFont="1" applyFill="1" applyBorder="1" applyProtection="1">
      <alignment/>
      <protection hidden="1" locked="0"/>
    </xf>
    <xf numFmtId="174" fontId="18" fillId="0" borderId="31" xfId="142" applyNumberFormat="1" applyFont="1" applyFill="1" applyBorder="1" applyAlignment="1" applyProtection="1">
      <alignment vertical="top" wrapText="1"/>
      <protection hidden="1"/>
    </xf>
    <xf numFmtId="2" fontId="19" fillId="0" borderId="30" xfId="142" applyNumberFormat="1" applyFont="1" applyFill="1" applyBorder="1" applyProtection="1">
      <alignment/>
      <protection hidden="1"/>
    </xf>
    <xf numFmtId="2" fontId="20" fillId="0" borderId="28" xfId="142" applyNumberFormat="1" applyFont="1" applyFill="1" applyBorder="1" applyAlignment="1" applyProtection="1">
      <alignment vertical="center"/>
      <protection hidden="1"/>
    </xf>
    <xf numFmtId="4" fontId="20" fillId="0" borderId="28" xfId="142" applyNumberFormat="1" applyFont="1" applyFill="1" applyBorder="1" applyAlignment="1" applyProtection="1">
      <alignment vertical="center"/>
      <protection hidden="1"/>
    </xf>
    <xf numFmtId="4" fontId="20" fillId="0" borderId="30" xfId="142" applyNumberFormat="1" applyFont="1" applyFill="1" applyBorder="1" applyAlignment="1" applyProtection="1">
      <alignment vertical="center"/>
      <protection hidden="1"/>
    </xf>
    <xf numFmtId="0" fontId="23" fillId="0" borderId="31" xfId="142" applyFont="1" applyFill="1" applyBorder="1" applyAlignment="1" applyProtection="1">
      <alignment horizontal="left" vertical="top" wrapText="1"/>
      <protection/>
    </xf>
    <xf numFmtId="0" fontId="23" fillId="0" borderId="28" xfId="142" applyFont="1" applyFill="1" applyBorder="1" applyAlignment="1" applyProtection="1">
      <alignment horizontal="center" vertical="center" wrapText="1"/>
      <protection/>
    </xf>
    <xf numFmtId="2" fontId="19" fillId="0" borderId="28" xfId="142" applyNumberFormat="1" applyFont="1" applyFill="1" applyBorder="1" applyProtection="1">
      <alignment/>
      <protection hidden="1" locked="0"/>
    </xf>
    <xf numFmtId="2" fontId="19" fillId="0" borderId="30" xfId="142" applyNumberFormat="1" applyFont="1" applyFill="1" applyBorder="1" applyProtection="1">
      <alignment/>
      <protection hidden="1" locked="0"/>
    </xf>
    <xf numFmtId="0" fontId="23" fillId="0" borderId="31" xfId="142" applyFont="1" applyFill="1" applyBorder="1" applyAlignment="1" applyProtection="1">
      <alignment vertical="top" wrapText="1"/>
      <protection/>
    </xf>
    <xf numFmtId="2" fontId="23" fillId="0" borderId="28" xfId="142" applyNumberFormat="1" applyFont="1" applyFill="1" applyBorder="1" applyProtection="1">
      <alignment/>
      <protection hidden="1" locked="0"/>
    </xf>
    <xf numFmtId="2" fontId="20" fillId="0" borderId="28" xfId="142" applyNumberFormat="1" applyFont="1" applyFill="1" applyBorder="1" applyProtection="1">
      <alignment/>
      <protection hidden="1" locked="0"/>
    </xf>
    <xf numFmtId="2" fontId="20" fillId="0" borderId="28" xfId="142" applyNumberFormat="1" applyFont="1" applyFill="1" applyBorder="1" applyAlignment="1" applyProtection="1">
      <alignment vertical="center"/>
      <protection hidden="1" locked="0"/>
    </xf>
    <xf numFmtId="2" fontId="20" fillId="0" borderId="30" xfId="142" applyNumberFormat="1" applyFont="1" applyFill="1" applyBorder="1" applyAlignment="1" applyProtection="1">
      <alignment vertical="center"/>
      <protection hidden="1" locked="0"/>
    </xf>
    <xf numFmtId="0" fontId="23" fillId="0" borderId="31" xfId="142" applyFont="1" applyFill="1" applyBorder="1" applyAlignment="1" applyProtection="1">
      <alignment horizontal="left" vertical="center" wrapText="1"/>
      <protection/>
    </xf>
    <xf numFmtId="2" fontId="19" fillId="0" borderId="28" xfId="142" applyNumberFormat="1" applyFont="1" applyFill="1" applyBorder="1" applyAlignment="1" applyProtection="1">
      <alignment horizontal="right" vertical="center"/>
      <protection hidden="1" locked="0"/>
    </xf>
    <xf numFmtId="2" fontId="19" fillId="0" borderId="28" xfId="142" applyNumberFormat="1" applyFont="1" applyFill="1" applyBorder="1" applyAlignment="1" applyProtection="1">
      <alignment vertical="center"/>
      <protection hidden="1" locked="0"/>
    </xf>
    <xf numFmtId="176" fontId="19" fillId="0" borderId="28" xfId="142" applyNumberFormat="1" applyFont="1" applyFill="1" applyBorder="1" applyAlignment="1" applyProtection="1">
      <alignment vertical="center"/>
      <protection hidden="1" locked="0"/>
    </xf>
    <xf numFmtId="2" fontId="19" fillId="0" borderId="30" xfId="142" applyNumberFormat="1" applyFont="1" applyFill="1" applyBorder="1" applyAlignment="1" applyProtection="1">
      <alignment vertical="center"/>
      <protection hidden="1" locked="0"/>
    </xf>
    <xf numFmtId="0" fontId="23" fillId="0" borderId="31" xfId="142" applyFont="1" applyFill="1" applyBorder="1" applyAlignment="1" applyProtection="1">
      <alignment vertical="center" wrapText="1"/>
      <protection/>
    </xf>
    <xf numFmtId="2" fontId="23" fillId="0" borderId="28" xfId="142" applyNumberFormat="1" applyFont="1" applyFill="1" applyBorder="1" applyAlignment="1" applyProtection="1">
      <alignment vertical="center"/>
      <protection hidden="1" locked="0"/>
    </xf>
    <xf numFmtId="175" fontId="20" fillId="0" borderId="28" xfId="142" applyNumberFormat="1" applyFont="1" applyFill="1" applyBorder="1" applyAlignment="1" applyProtection="1">
      <alignment horizontal="right" vertical="center"/>
      <protection hidden="1" locked="0"/>
    </xf>
    <xf numFmtId="0" fontId="23" fillId="0" borderId="28" xfId="142" applyFont="1" applyFill="1" applyBorder="1" applyProtection="1">
      <alignment/>
      <protection hidden="1" locked="0"/>
    </xf>
    <xf numFmtId="177" fontId="23" fillId="0" borderId="28" xfId="142" applyNumberFormat="1" applyFont="1" applyFill="1" applyBorder="1" applyProtection="1">
      <alignment/>
      <protection hidden="1" locked="0"/>
    </xf>
    <xf numFmtId="177" fontId="23" fillId="0" borderId="30" xfId="142" applyNumberFormat="1" applyFont="1" applyFill="1" applyBorder="1" applyProtection="1">
      <alignment/>
      <protection hidden="1" locked="0"/>
    </xf>
    <xf numFmtId="2" fontId="19" fillId="0" borderId="28" xfId="142" applyNumberFormat="1" applyFont="1" applyFill="1" applyBorder="1" applyAlignment="1" applyProtection="1">
      <alignment horizontal="right"/>
      <protection hidden="1" locked="0"/>
    </xf>
    <xf numFmtId="175" fontId="20" fillId="0" borderId="28" xfId="142" applyNumberFormat="1" applyFont="1" applyFill="1" applyBorder="1" applyAlignment="1" applyProtection="1">
      <alignment horizontal="right"/>
      <protection hidden="1" locked="0"/>
    </xf>
    <xf numFmtId="175" fontId="20" fillId="0" borderId="28" xfId="142" applyNumberFormat="1" applyFont="1" applyFill="1" applyBorder="1" applyAlignment="1" applyProtection="1">
      <alignment horizontal="right"/>
      <protection hidden="1" locked="0"/>
    </xf>
    <xf numFmtId="175" fontId="20" fillId="0" borderId="28" xfId="142" applyNumberFormat="1" applyFont="1" applyFill="1" applyBorder="1" applyAlignment="1" applyProtection="1">
      <alignment horizontal="right" vertical="center"/>
      <protection hidden="1" locked="0"/>
    </xf>
    <xf numFmtId="175" fontId="20" fillId="0" borderId="30" xfId="142" applyNumberFormat="1" applyFont="1" applyFill="1" applyBorder="1" applyAlignment="1" applyProtection="1">
      <alignment horizontal="right" vertical="center"/>
      <protection hidden="1" locked="0"/>
    </xf>
    <xf numFmtId="0" fontId="18" fillId="0" borderId="31" xfId="142" applyFont="1" applyFill="1" applyBorder="1" applyAlignment="1" applyProtection="1">
      <alignment horizontal="left" vertical="top" wrapText="1"/>
      <protection hidden="1"/>
    </xf>
    <xf numFmtId="0" fontId="18" fillId="0" borderId="28" xfId="142" applyFont="1" applyFill="1" applyBorder="1" applyAlignment="1" applyProtection="1">
      <alignment horizontal="center" vertical="center" wrapText="1"/>
      <protection hidden="1"/>
    </xf>
    <xf numFmtId="0" fontId="19" fillId="0" borderId="28" xfId="142" applyFont="1" applyFill="1" applyBorder="1" applyProtection="1">
      <alignment/>
      <protection hidden="1" locked="0"/>
    </xf>
    <xf numFmtId="0" fontId="19" fillId="0" borderId="28" xfId="142" applyFont="1" applyFill="1" applyBorder="1" applyAlignment="1" applyProtection="1">
      <alignment vertical="center"/>
      <protection hidden="1" locked="0"/>
    </xf>
    <xf numFmtId="0" fontId="19" fillId="0" borderId="30" xfId="142" applyFont="1" applyFill="1" applyBorder="1" applyAlignment="1" applyProtection="1">
      <alignment vertical="center"/>
      <protection hidden="1" locked="0"/>
    </xf>
    <xf numFmtId="0" fontId="19" fillId="0" borderId="30" xfId="142" applyFont="1" applyFill="1" applyBorder="1" applyProtection="1">
      <alignment/>
      <protection hidden="1" locked="0"/>
    </xf>
    <xf numFmtId="0" fontId="18" fillId="0" borderId="31" xfId="142" applyFont="1" applyFill="1" applyBorder="1" applyAlignment="1" applyProtection="1">
      <alignment horizontal="left" vertical="top" wrapText="1" indent="2"/>
      <protection hidden="1"/>
    </xf>
    <xf numFmtId="0" fontId="23" fillId="0" borderId="28" xfId="142" applyFont="1" applyFill="1" applyBorder="1" applyAlignment="1" applyProtection="1">
      <alignment horizontal="right"/>
      <protection hidden="1"/>
    </xf>
    <xf numFmtId="0" fontId="109" fillId="0" borderId="28" xfId="142" applyFont="1" applyFill="1" applyBorder="1" applyAlignment="1" applyProtection="1">
      <alignment horizontal="right"/>
      <protection hidden="1"/>
    </xf>
    <xf numFmtId="0" fontId="23" fillId="0" borderId="28" xfId="142" applyFont="1" applyFill="1" applyBorder="1" applyAlignment="1" applyProtection="1">
      <alignment horizontal="right"/>
      <protection hidden="1"/>
    </xf>
    <xf numFmtId="0" fontId="23" fillId="0" borderId="30" xfId="142" applyFont="1" applyFill="1" applyBorder="1" applyAlignment="1" applyProtection="1">
      <alignment horizontal="right"/>
      <protection hidden="1"/>
    </xf>
    <xf numFmtId="0" fontId="19" fillId="0" borderId="28" xfId="142" applyFont="1" applyFill="1" applyBorder="1" applyProtection="1">
      <alignment/>
      <protection hidden="1" locked="0"/>
    </xf>
    <xf numFmtId="0" fontId="19" fillId="0" borderId="28" xfId="142" applyFont="1" applyFill="1" applyBorder="1" applyAlignment="1" applyProtection="1">
      <alignment vertical="center"/>
      <protection hidden="1" locked="0"/>
    </xf>
    <xf numFmtId="0" fontId="19" fillId="0" borderId="30" xfId="142" applyFont="1" applyFill="1" applyBorder="1" applyAlignment="1" applyProtection="1">
      <alignment vertical="center"/>
      <protection hidden="1" locked="0"/>
    </xf>
    <xf numFmtId="0" fontId="22" fillId="0" borderId="31" xfId="142" applyFont="1" applyFill="1" applyBorder="1" applyAlignment="1" applyProtection="1">
      <alignment horizontal="left" vertical="top" wrapText="1"/>
      <protection hidden="1"/>
    </xf>
    <xf numFmtId="1" fontId="19" fillId="0" borderId="28" xfId="142" applyNumberFormat="1" applyFont="1" applyFill="1" applyBorder="1" applyAlignment="1" applyProtection="1">
      <alignment horizontal="right"/>
      <protection hidden="1" locked="0"/>
    </xf>
    <xf numFmtId="0" fontId="19" fillId="0" borderId="28" xfId="142" applyFont="1" applyFill="1" applyBorder="1" applyAlignment="1" applyProtection="1">
      <alignment horizontal="right"/>
      <protection hidden="1" locked="0"/>
    </xf>
    <xf numFmtId="1" fontId="19" fillId="0" borderId="28" xfId="142" applyNumberFormat="1" applyFont="1" applyFill="1" applyBorder="1" applyAlignment="1" applyProtection="1">
      <alignment horizontal="right" vertical="center"/>
      <protection hidden="1" locked="0"/>
    </xf>
    <xf numFmtId="1" fontId="19" fillId="0" borderId="30" xfId="142" applyNumberFormat="1" applyFont="1" applyFill="1" applyBorder="1" applyAlignment="1" applyProtection="1">
      <alignment horizontal="right" vertical="center"/>
      <protection hidden="1" locked="0"/>
    </xf>
    <xf numFmtId="0" fontId="18" fillId="0" borderId="31" xfId="142" applyFont="1" applyFill="1" applyBorder="1" applyAlignment="1" applyProtection="1">
      <alignment horizontal="left" vertical="top" wrapText="1" indent="3"/>
      <protection hidden="1"/>
    </xf>
    <xf numFmtId="1" fontId="19" fillId="0" borderId="28" xfId="142" applyNumberFormat="1" applyFont="1" applyFill="1" applyBorder="1" applyAlignment="1" applyProtection="1">
      <alignment/>
      <protection hidden="1" locked="0"/>
    </xf>
    <xf numFmtId="0" fontId="19" fillId="0" borderId="28" xfId="142" applyFont="1" applyFill="1" applyBorder="1" applyAlignment="1" applyProtection="1">
      <alignment/>
      <protection hidden="1" locked="0"/>
    </xf>
    <xf numFmtId="0" fontId="19" fillId="0" borderId="30" xfId="142" applyFont="1" applyFill="1" applyBorder="1" applyAlignment="1" applyProtection="1">
      <alignment/>
      <protection hidden="1" locked="0"/>
    </xf>
    <xf numFmtId="1" fontId="19" fillId="0" borderId="28" xfId="142" applyNumberFormat="1" applyFont="1" applyFill="1" applyBorder="1" applyAlignment="1" applyProtection="1">
      <alignment/>
      <protection hidden="1"/>
    </xf>
    <xf numFmtId="1" fontId="19" fillId="0" borderId="30" xfId="142" applyNumberFormat="1" applyFont="1" applyFill="1" applyBorder="1" applyAlignment="1" applyProtection="1">
      <alignment/>
      <protection hidden="1"/>
    </xf>
    <xf numFmtId="0" fontId="19" fillId="0" borderId="28" xfId="142" applyFont="1" applyFill="1" applyBorder="1" applyAlignment="1" applyProtection="1">
      <alignment/>
      <protection hidden="1"/>
    </xf>
    <xf numFmtId="0" fontId="22" fillId="0" borderId="31" xfId="142" applyFont="1" applyFill="1" applyBorder="1" applyAlignment="1" applyProtection="1">
      <alignment vertical="top" wrapText="1"/>
      <protection hidden="1"/>
    </xf>
    <xf numFmtId="49" fontId="19" fillId="0" borderId="28" xfId="142" applyNumberFormat="1" applyFont="1" applyFill="1" applyBorder="1" applyAlignment="1" applyProtection="1">
      <alignment horizontal="right"/>
      <protection hidden="1" locked="0"/>
    </xf>
    <xf numFmtId="177" fontId="19" fillId="0" borderId="28" xfId="142" applyNumberFormat="1" applyFont="1" applyFill="1" applyBorder="1" applyAlignment="1" applyProtection="1">
      <alignment/>
      <protection hidden="1" locked="0"/>
    </xf>
    <xf numFmtId="177" fontId="19" fillId="0" borderId="30" xfId="142" applyNumberFormat="1" applyFont="1" applyFill="1" applyBorder="1" applyAlignment="1" applyProtection="1">
      <alignment/>
      <protection hidden="1" locked="0"/>
    </xf>
    <xf numFmtId="0" fontId="19" fillId="0" borderId="30" xfId="142" applyFont="1" applyFill="1" applyBorder="1" applyAlignment="1" applyProtection="1">
      <alignment/>
      <protection hidden="1"/>
    </xf>
    <xf numFmtId="0" fontId="19" fillId="0" borderId="28" xfId="142" applyFont="1" applyFill="1" applyBorder="1" applyAlignment="1" applyProtection="1">
      <alignment horizontal="right"/>
      <protection hidden="1"/>
    </xf>
    <xf numFmtId="0" fontId="19" fillId="0" borderId="30" xfId="142" applyFont="1" applyFill="1" applyBorder="1" applyAlignment="1" applyProtection="1">
      <alignment horizontal="right"/>
      <protection hidden="1"/>
    </xf>
    <xf numFmtId="176" fontId="19" fillId="0" borderId="30" xfId="142" applyNumberFormat="1" applyFont="1" applyFill="1" applyBorder="1" applyAlignment="1" applyProtection="1">
      <alignment horizontal="right"/>
      <protection hidden="1" locked="0"/>
    </xf>
    <xf numFmtId="172" fontId="19" fillId="0" borderId="28" xfId="142" applyNumberFormat="1" applyFont="1" applyFill="1" applyBorder="1" applyAlignment="1" applyProtection="1">
      <alignment horizontal="right"/>
      <protection hidden="1"/>
    </xf>
    <xf numFmtId="172" fontId="19" fillId="0" borderId="30" xfId="142" applyNumberFormat="1" applyFont="1" applyFill="1" applyBorder="1" applyAlignment="1" applyProtection="1">
      <alignment horizontal="right"/>
      <protection hidden="1"/>
    </xf>
    <xf numFmtId="0" fontId="19" fillId="0" borderId="28" xfId="142" applyFont="1" applyFill="1" applyBorder="1" applyProtection="1">
      <alignment/>
      <protection hidden="1"/>
    </xf>
    <xf numFmtId="174" fontId="19" fillId="0" borderId="30" xfId="142" applyNumberFormat="1" applyFont="1" applyFill="1" applyBorder="1" applyProtection="1">
      <alignment/>
      <protection hidden="1" locked="0"/>
    </xf>
    <xf numFmtId="0" fontId="11" fillId="0" borderId="30" xfId="142" applyFont="1" applyFill="1" applyBorder="1" applyProtection="1">
      <alignment/>
      <protection hidden="1"/>
    </xf>
    <xf numFmtId="0" fontId="21" fillId="0" borderId="31" xfId="142" applyFont="1" applyFill="1" applyBorder="1" applyAlignment="1" applyProtection="1">
      <alignment horizontal="left" vertical="top" wrapText="1"/>
      <protection hidden="1"/>
    </xf>
    <xf numFmtId="0" fontId="11" fillId="0" borderId="28" xfId="142" applyFont="1" applyFill="1" applyBorder="1" applyProtection="1">
      <alignment/>
      <protection hidden="1"/>
    </xf>
    <xf numFmtId="0" fontId="19" fillId="0" borderId="30" xfId="142" applyFont="1" applyFill="1" applyBorder="1" applyProtection="1">
      <alignment/>
      <protection hidden="1"/>
    </xf>
    <xf numFmtId="0" fontId="19" fillId="0" borderId="30" xfId="142" applyFont="1" applyFill="1" applyBorder="1" applyProtection="1">
      <alignment/>
      <protection hidden="1" locked="0"/>
    </xf>
    <xf numFmtId="0" fontId="25" fillId="0" borderId="31" xfId="142" applyFont="1" applyFill="1" applyBorder="1" applyAlignment="1" applyProtection="1">
      <alignment horizontal="left" vertical="top" wrapText="1"/>
      <protection hidden="1"/>
    </xf>
    <xf numFmtId="2" fontId="19" fillId="0" borderId="28" xfId="142" applyNumberFormat="1" applyFont="1" applyFill="1" applyBorder="1" applyProtection="1">
      <alignment/>
      <protection hidden="1" locked="0"/>
    </xf>
    <xf numFmtId="2" fontId="11" fillId="0" borderId="28" xfId="142" applyNumberFormat="1" applyFont="1" applyFill="1" applyBorder="1" applyProtection="1">
      <alignment/>
      <protection hidden="1"/>
    </xf>
    <xf numFmtId="4" fontId="11" fillId="0" borderId="28" xfId="142" applyNumberFormat="1" applyFont="1" applyFill="1" applyBorder="1" applyProtection="1">
      <alignment/>
      <protection hidden="1"/>
    </xf>
    <xf numFmtId="4" fontId="19" fillId="0" borderId="28" xfId="142" applyNumberFormat="1" applyFont="1" applyFill="1" applyBorder="1" applyProtection="1">
      <alignment/>
      <protection hidden="1" locked="0"/>
    </xf>
    <xf numFmtId="4" fontId="19" fillId="0" borderId="30" xfId="142" applyNumberFormat="1" applyFont="1" applyFill="1" applyBorder="1" applyProtection="1">
      <alignment/>
      <protection hidden="1" locked="0"/>
    </xf>
    <xf numFmtId="0" fontId="23" fillId="0" borderId="28" xfId="142" applyFont="1" applyFill="1" applyBorder="1" applyProtection="1">
      <alignment/>
      <protection hidden="1" locked="0"/>
    </xf>
    <xf numFmtId="0" fontId="109" fillId="0" borderId="28" xfId="142" applyFont="1" applyFill="1" applyBorder="1" applyProtection="1">
      <alignment/>
      <protection hidden="1" locked="0"/>
    </xf>
    <xf numFmtId="2" fontId="19" fillId="0" borderId="30" xfId="142" applyNumberFormat="1" applyFont="1" applyFill="1" applyBorder="1" applyProtection="1">
      <alignment/>
      <protection hidden="1" locked="0"/>
    </xf>
    <xf numFmtId="1" fontId="19" fillId="0" borderId="30" xfId="142" applyNumberFormat="1" applyFont="1" applyFill="1" applyBorder="1" applyAlignment="1" applyProtection="1">
      <alignment horizontal="right"/>
      <protection hidden="1" locked="0"/>
    </xf>
    <xf numFmtId="0" fontId="18" fillId="0" borderId="31" xfId="142" applyFont="1" applyFill="1" applyBorder="1" applyAlignment="1" applyProtection="1">
      <alignment vertical="top" wrapText="1"/>
      <protection hidden="1"/>
    </xf>
    <xf numFmtId="1" fontId="28" fillId="0" borderId="28" xfId="142" applyNumberFormat="1" applyFont="1" applyFill="1" applyBorder="1" applyAlignment="1" applyProtection="1">
      <alignment horizontal="right"/>
      <protection locked="0"/>
    </xf>
    <xf numFmtId="3" fontId="28" fillId="0" borderId="28" xfId="142" applyNumberFormat="1" applyFont="1" applyFill="1" applyBorder="1" applyAlignment="1" applyProtection="1">
      <alignment horizontal="right"/>
      <protection locked="0"/>
    </xf>
    <xf numFmtId="3" fontId="28" fillId="0" borderId="28" xfId="142" applyNumberFormat="1" applyFont="1" applyFill="1" applyBorder="1" applyAlignment="1" applyProtection="1">
      <alignment horizontal="right" vertical="center"/>
      <protection locked="0"/>
    </xf>
    <xf numFmtId="3" fontId="28" fillId="0" borderId="30" xfId="142" applyNumberFormat="1" applyFont="1" applyFill="1" applyBorder="1" applyAlignment="1" applyProtection="1">
      <alignment horizontal="right" vertical="center"/>
      <protection locked="0"/>
    </xf>
    <xf numFmtId="49" fontId="20" fillId="0" borderId="28" xfId="142" applyNumberFormat="1" applyFont="1" applyFill="1" applyBorder="1" applyAlignment="1" applyProtection="1">
      <alignment horizontal="right"/>
      <protection hidden="1" locked="0"/>
    </xf>
    <xf numFmtId="180" fontId="20" fillId="0" borderId="28" xfId="142" applyNumberFormat="1" applyFont="1" applyFill="1" applyBorder="1" applyAlignment="1" applyProtection="1">
      <alignment horizontal="right"/>
      <protection hidden="1" locked="0"/>
    </xf>
    <xf numFmtId="180" fontId="20" fillId="0" borderId="28" xfId="142" applyNumberFormat="1" applyFont="1" applyFill="1" applyBorder="1" applyAlignment="1" applyProtection="1">
      <alignment horizontal="right" vertical="center"/>
      <protection hidden="1" locked="0"/>
    </xf>
    <xf numFmtId="180" fontId="20" fillId="0" borderId="30" xfId="142" applyNumberFormat="1" applyFont="1" applyFill="1" applyBorder="1" applyAlignment="1" applyProtection="1">
      <alignment horizontal="right" vertical="center"/>
      <protection hidden="1" locked="0"/>
    </xf>
    <xf numFmtId="175" fontId="20" fillId="0" borderId="30" xfId="142" applyNumberFormat="1" applyFont="1" applyFill="1" applyBorder="1" applyAlignment="1" applyProtection="1">
      <alignment horizontal="right"/>
      <protection hidden="1" locked="0"/>
    </xf>
    <xf numFmtId="2" fontId="19" fillId="0" borderId="28" xfId="142" applyNumberFormat="1" applyFont="1" applyFill="1" applyBorder="1" applyAlignment="1" applyProtection="1">
      <alignment horizontal="right" vertical="center"/>
      <protection hidden="1" locked="0"/>
    </xf>
    <xf numFmtId="176" fontId="19" fillId="0" borderId="28" xfId="142" applyNumberFormat="1" applyFont="1" applyFill="1" applyBorder="1" applyAlignment="1" applyProtection="1">
      <alignment horizontal="right" vertical="center"/>
      <protection hidden="1"/>
    </xf>
    <xf numFmtId="176" fontId="19" fillId="0" borderId="30" xfId="142" applyNumberFormat="1" applyFont="1" applyFill="1" applyBorder="1" applyAlignment="1" applyProtection="1">
      <alignment horizontal="right" vertical="center"/>
      <protection hidden="1"/>
    </xf>
    <xf numFmtId="174" fontId="110" fillId="0" borderId="28" xfId="142" applyNumberFormat="1" applyFont="1" applyFill="1" applyBorder="1" applyAlignment="1" applyProtection="1">
      <alignment horizontal="right"/>
      <protection hidden="1"/>
    </xf>
    <xf numFmtId="175" fontId="20" fillId="0" borderId="30" xfId="142" applyNumberFormat="1" applyFont="1" applyFill="1" applyBorder="1" applyAlignment="1" applyProtection="1">
      <alignment horizontal="right"/>
      <protection hidden="1"/>
    </xf>
    <xf numFmtId="176" fontId="11" fillId="0" borderId="28" xfId="142" applyNumberFormat="1" applyFont="1" applyFill="1" applyBorder="1" applyAlignment="1" applyProtection="1">
      <alignment horizontal="right"/>
      <protection hidden="1" locked="0"/>
    </xf>
    <xf numFmtId="175" fontId="20" fillId="0" borderId="30" xfId="142" applyNumberFormat="1" applyFont="1" applyFill="1" applyBorder="1" applyAlignment="1" applyProtection="1">
      <alignment horizontal="right" vertical="center"/>
      <protection hidden="1" locked="0"/>
    </xf>
    <xf numFmtId="176" fontId="20" fillId="0" borderId="28" xfId="142" applyNumberFormat="1" applyFont="1" applyFill="1" applyBorder="1" applyAlignment="1" applyProtection="1">
      <alignment horizontal="right"/>
      <protection hidden="1" locked="0"/>
    </xf>
    <xf numFmtId="175" fontId="29" fillId="0" borderId="28" xfId="142" applyNumberFormat="1" applyFont="1" applyFill="1" applyBorder="1" applyAlignment="1" applyProtection="1">
      <alignment horizontal="right"/>
      <protection hidden="1" locked="0"/>
    </xf>
    <xf numFmtId="175" fontId="29" fillId="0" borderId="30" xfId="142" applyNumberFormat="1" applyFont="1" applyFill="1" applyBorder="1" applyAlignment="1" applyProtection="1">
      <alignment horizontal="right"/>
      <protection hidden="1" locked="0"/>
    </xf>
    <xf numFmtId="176" fontId="19" fillId="0" borderId="28" xfId="142" applyNumberFormat="1" applyFont="1" applyFill="1" applyBorder="1" applyAlignment="1" applyProtection="1">
      <alignment horizontal="right"/>
      <protection hidden="1" locked="0"/>
    </xf>
    <xf numFmtId="176" fontId="19" fillId="0" borderId="30" xfId="142" applyNumberFormat="1" applyFont="1" applyFill="1" applyBorder="1" applyAlignment="1" applyProtection="1">
      <alignment horizontal="right"/>
      <protection hidden="1" locked="0"/>
    </xf>
    <xf numFmtId="4" fontId="19" fillId="0" borderId="28" xfId="142" applyNumberFormat="1" applyFont="1" applyFill="1" applyBorder="1" applyAlignment="1" applyProtection="1">
      <alignment horizontal="right"/>
      <protection hidden="1" locked="0"/>
    </xf>
    <xf numFmtId="4" fontId="19" fillId="0" borderId="30" xfId="142" applyNumberFormat="1" applyFont="1" applyFill="1" applyBorder="1" applyAlignment="1" applyProtection="1">
      <alignment horizontal="right"/>
      <protection hidden="1" locked="0"/>
    </xf>
    <xf numFmtId="2" fontId="19" fillId="0" borderId="28" xfId="142" applyNumberFormat="1" applyFont="1" applyFill="1" applyBorder="1" applyAlignment="1" applyProtection="1">
      <alignment horizontal="right"/>
      <protection hidden="1" locked="0"/>
    </xf>
    <xf numFmtId="2" fontId="19" fillId="0" borderId="30" xfId="142" applyNumberFormat="1" applyFont="1" applyFill="1" applyBorder="1" applyAlignment="1" applyProtection="1">
      <alignment horizontal="right" vertical="center"/>
      <protection hidden="1" locked="0"/>
    </xf>
    <xf numFmtId="176" fontId="19" fillId="0" borderId="28" xfId="142" applyNumberFormat="1" applyFont="1" applyFill="1" applyBorder="1" applyAlignment="1" applyProtection="1">
      <alignment horizontal="right" vertical="center"/>
      <protection hidden="1" locked="0"/>
    </xf>
    <xf numFmtId="176" fontId="19" fillId="0" borderId="30" xfId="142" applyNumberFormat="1" applyFont="1" applyFill="1" applyBorder="1" applyAlignment="1" applyProtection="1">
      <alignment horizontal="right" vertical="center"/>
      <protection hidden="1" locked="0"/>
    </xf>
    <xf numFmtId="9" fontId="20" fillId="0" borderId="28" xfId="142" applyNumberFormat="1" applyFont="1" applyFill="1" applyBorder="1" applyAlignment="1" applyProtection="1">
      <alignment horizontal="right" vertical="center"/>
      <protection hidden="1" locked="0"/>
    </xf>
    <xf numFmtId="9" fontId="20" fillId="0" borderId="30" xfId="142" applyNumberFormat="1" applyFont="1" applyFill="1" applyBorder="1" applyAlignment="1" applyProtection="1">
      <alignment horizontal="right" vertical="center"/>
      <protection hidden="1" locked="0"/>
    </xf>
    <xf numFmtId="49" fontId="111" fillId="0" borderId="28" xfId="142" applyNumberFormat="1" applyFont="1" applyFill="1" applyBorder="1" applyAlignment="1" applyProtection="1">
      <alignment horizontal="right"/>
      <protection hidden="1" locked="0"/>
    </xf>
    <xf numFmtId="49" fontId="19" fillId="0" borderId="30" xfId="142" applyNumberFormat="1" applyFont="1" applyFill="1" applyBorder="1" applyAlignment="1" applyProtection="1">
      <alignment horizontal="right"/>
      <protection hidden="1" locked="0"/>
    </xf>
    <xf numFmtId="1" fontId="112" fillId="0" borderId="28" xfId="142" applyNumberFormat="1" applyFont="1" applyFill="1" applyBorder="1" applyAlignment="1" applyProtection="1">
      <alignment horizontal="right"/>
      <protection hidden="1" locked="0"/>
    </xf>
    <xf numFmtId="1" fontId="112" fillId="0" borderId="30" xfId="142" applyNumberFormat="1" applyFont="1" applyFill="1" applyBorder="1" applyAlignment="1" applyProtection="1">
      <alignment horizontal="right"/>
      <protection hidden="1" locked="0"/>
    </xf>
    <xf numFmtId="3" fontId="19" fillId="0" borderId="28" xfId="142" applyNumberFormat="1" applyFont="1" applyFill="1" applyBorder="1" applyAlignment="1" applyProtection="1">
      <alignment horizontal="right"/>
      <protection hidden="1" locked="0"/>
    </xf>
    <xf numFmtId="3" fontId="112" fillId="0" borderId="28" xfId="142" applyNumberFormat="1" applyFont="1" applyFill="1" applyBorder="1" applyAlignment="1" applyProtection="1">
      <alignment horizontal="right" vertical="center"/>
      <protection hidden="1" locked="0"/>
    </xf>
    <xf numFmtId="3" fontId="112" fillId="0" borderId="30" xfId="142" applyNumberFormat="1" applyFont="1" applyFill="1" applyBorder="1" applyAlignment="1" applyProtection="1">
      <alignment horizontal="right" vertical="center"/>
      <protection hidden="1" locked="0"/>
    </xf>
    <xf numFmtId="1" fontId="19" fillId="0" borderId="28" xfId="142" applyNumberFormat="1" applyFont="1" applyFill="1" applyBorder="1" applyAlignment="1" applyProtection="1">
      <alignment horizontal="center"/>
      <protection hidden="1" locked="0"/>
    </xf>
    <xf numFmtId="1" fontId="111" fillId="0" borderId="28" xfId="142" applyNumberFormat="1" applyFont="1" applyFill="1" applyBorder="1" applyAlignment="1" applyProtection="1">
      <alignment horizontal="center"/>
      <protection hidden="1" locked="0"/>
    </xf>
    <xf numFmtId="1" fontId="111" fillId="0" borderId="28" xfId="142" applyNumberFormat="1" applyFont="1" applyFill="1" applyBorder="1" applyAlignment="1" applyProtection="1">
      <alignment horizontal="center" vertical="center"/>
      <protection hidden="1" locked="0"/>
    </xf>
    <xf numFmtId="1" fontId="19" fillId="0" borderId="28" xfId="142" applyNumberFormat="1" applyFont="1" applyFill="1" applyBorder="1" applyAlignment="1" applyProtection="1">
      <alignment horizontal="center" vertical="center"/>
      <protection hidden="1" locked="0"/>
    </xf>
    <xf numFmtId="1" fontId="19" fillId="0" borderId="30" xfId="142" applyNumberFormat="1" applyFont="1" applyFill="1" applyBorder="1" applyAlignment="1" applyProtection="1">
      <alignment horizontal="center" vertical="center"/>
      <protection hidden="1" locked="0"/>
    </xf>
    <xf numFmtId="49" fontId="20" fillId="0" borderId="28" xfId="142" applyNumberFormat="1" applyFont="1" applyFill="1" applyBorder="1" applyAlignment="1" applyProtection="1">
      <alignment horizontal="right" vertical="center"/>
      <protection hidden="1" locked="0"/>
    </xf>
    <xf numFmtId="49" fontId="20" fillId="0" borderId="30" xfId="142" applyNumberFormat="1" applyFont="1" applyFill="1" applyBorder="1" applyAlignment="1" applyProtection="1">
      <alignment horizontal="right" vertical="center"/>
      <protection hidden="1" locked="0"/>
    </xf>
    <xf numFmtId="0" fontId="18" fillId="0" borderId="31" xfId="142" applyFont="1" applyFill="1" applyBorder="1" applyAlignment="1" applyProtection="1">
      <alignment horizontal="left" vertical="top" wrapText="1" indent="1"/>
      <protection hidden="1"/>
    </xf>
    <xf numFmtId="176" fontId="30" fillId="0" borderId="28" xfId="142" applyNumberFormat="1" applyFont="1" applyFill="1" applyBorder="1" applyAlignment="1" applyProtection="1">
      <alignment horizontal="right"/>
      <protection hidden="1" locked="0"/>
    </xf>
    <xf numFmtId="175" fontId="30" fillId="0" borderId="28" xfId="142" applyNumberFormat="1" applyFont="1" applyFill="1" applyBorder="1" applyAlignment="1" applyProtection="1">
      <alignment horizontal="right"/>
      <protection hidden="1" locked="0"/>
    </xf>
    <xf numFmtId="176" fontId="30" fillId="0" borderId="30" xfId="142" applyNumberFormat="1" applyFont="1" applyFill="1" applyBorder="1" applyAlignment="1" applyProtection="1">
      <alignment horizontal="right"/>
      <protection hidden="1" locked="0"/>
    </xf>
    <xf numFmtId="2" fontId="30" fillId="0" borderId="28" xfId="142" applyNumberFormat="1" applyFont="1" applyFill="1" applyBorder="1" applyAlignment="1">
      <alignment horizontal="right" vertical="top" wrapText="1"/>
      <protection/>
    </xf>
    <xf numFmtId="0" fontId="30" fillId="0" borderId="28" xfId="142" applyFont="1" applyFill="1" applyBorder="1" applyAlignment="1">
      <alignment horizontal="right" vertical="top" wrapText="1"/>
      <protection/>
    </xf>
    <xf numFmtId="172" fontId="30" fillId="0" borderId="28" xfId="142" applyNumberFormat="1" applyFont="1" applyFill="1" applyBorder="1" applyAlignment="1">
      <alignment horizontal="right" vertical="top" wrapText="1"/>
      <protection/>
    </xf>
    <xf numFmtId="172" fontId="30" fillId="0" borderId="30" xfId="142" applyNumberFormat="1" applyFont="1" applyFill="1" applyBorder="1" applyAlignment="1">
      <alignment horizontal="right" vertical="top" wrapText="1"/>
      <protection/>
    </xf>
    <xf numFmtId="172" fontId="30" fillId="0" borderId="28" xfId="142" applyNumberFormat="1" applyFont="1" applyFill="1" applyBorder="1" applyAlignment="1" applyProtection="1">
      <alignment horizontal="right"/>
      <protection hidden="1" locked="0"/>
    </xf>
    <xf numFmtId="172" fontId="30" fillId="0" borderId="28" xfId="142" applyNumberFormat="1" applyFont="1" applyFill="1" applyBorder="1" applyProtection="1">
      <alignment/>
      <protection hidden="1"/>
    </xf>
    <xf numFmtId="175" fontId="30" fillId="0" borderId="28" xfId="142" applyNumberFormat="1" applyFont="1" applyFill="1" applyBorder="1" applyProtection="1">
      <alignment/>
      <protection hidden="1"/>
    </xf>
    <xf numFmtId="175" fontId="30" fillId="0" borderId="30" xfId="142" applyNumberFormat="1" applyFont="1" applyFill="1" applyBorder="1" applyProtection="1">
      <alignment/>
      <protection hidden="1"/>
    </xf>
    <xf numFmtId="0" fontId="23" fillId="0" borderId="31" xfId="142" applyFont="1" applyFill="1" applyBorder="1" applyAlignment="1" applyProtection="1">
      <alignment vertical="top" wrapText="1"/>
      <protection hidden="1"/>
    </xf>
    <xf numFmtId="0" fontId="18" fillId="0" borderId="28" xfId="142" applyFont="1" applyFill="1" applyBorder="1" applyAlignment="1" applyProtection="1">
      <alignment horizontal="center"/>
      <protection hidden="1"/>
    </xf>
    <xf numFmtId="0" fontId="30" fillId="0" borderId="28" xfId="142" applyFont="1" applyFill="1" applyBorder="1" applyAlignment="1" applyProtection="1">
      <alignment horizontal="right"/>
      <protection hidden="1"/>
    </xf>
    <xf numFmtId="177" fontId="30" fillId="0" borderId="28" xfId="142" applyNumberFormat="1" applyFont="1" applyFill="1" applyBorder="1" applyAlignment="1" applyProtection="1">
      <alignment horizontal="right"/>
      <protection hidden="1" locked="0"/>
    </xf>
    <xf numFmtId="181" fontId="30" fillId="0" borderId="28" xfId="142" applyNumberFormat="1" applyFont="1" applyFill="1" applyBorder="1" applyAlignment="1" applyProtection="1">
      <alignment horizontal="right"/>
      <protection hidden="1" locked="0"/>
    </xf>
    <xf numFmtId="181" fontId="30" fillId="0" borderId="30" xfId="142" applyNumberFormat="1" applyFont="1" applyFill="1" applyBorder="1" applyAlignment="1" applyProtection="1">
      <alignment horizontal="right"/>
      <protection hidden="1" locked="0"/>
    </xf>
    <xf numFmtId="175" fontId="30" fillId="0" borderId="30" xfId="142" applyNumberFormat="1" applyFont="1" applyFill="1" applyBorder="1" applyAlignment="1" applyProtection="1">
      <alignment horizontal="right"/>
      <protection hidden="1" locked="0"/>
    </xf>
    <xf numFmtId="0" fontId="23" fillId="0" borderId="31" xfId="142" applyFont="1" applyFill="1" applyBorder="1" applyAlignment="1" applyProtection="1">
      <alignment horizontal="left" vertical="top" wrapText="1" indent="1"/>
      <protection hidden="1"/>
    </xf>
    <xf numFmtId="0" fontId="30" fillId="0" borderId="30" xfId="142" applyFont="1" applyFill="1" applyBorder="1" applyAlignment="1" applyProtection="1">
      <alignment horizontal="right"/>
      <protection hidden="1"/>
    </xf>
    <xf numFmtId="0" fontId="18" fillId="0" borderId="32" xfId="142" applyFont="1" applyFill="1" applyBorder="1" applyAlignment="1" applyProtection="1">
      <alignment horizontal="left" vertical="top" wrapText="1" indent="1"/>
      <protection hidden="1"/>
    </xf>
    <xf numFmtId="0" fontId="18" fillId="0" borderId="33" xfId="142" applyFont="1" applyFill="1" applyBorder="1" applyAlignment="1" applyProtection="1">
      <alignment horizontal="center" vertical="center" wrapText="1"/>
      <protection hidden="1"/>
    </xf>
    <xf numFmtId="175" fontId="30" fillId="0" borderId="33" xfId="142" applyNumberFormat="1" applyFont="1" applyFill="1" applyBorder="1" applyAlignment="1" applyProtection="1">
      <alignment horizontal="right"/>
      <protection hidden="1" locked="0"/>
    </xf>
    <xf numFmtId="175" fontId="30" fillId="0" borderId="34" xfId="142" applyNumberFormat="1" applyFont="1" applyFill="1" applyBorder="1" applyAlignment="1" applyProtection="1">
      <alignment horizontal="right"/>
      <protection hidden="1" locked="0"/>
    </xf>
    <xf numFmtId="0" fontId="18" fillId="0" borderId="35" xfId="142" applyFont="1" applyFill="1" applyBorder="1" applyAlignment="1" applyProtection="1">
      <alignment horizontal="left" vertical="top" wrapText="1" indent="1"/>
      <protection hidden="1"/>
    </xf>
    <xf numFmtId="0" fontId="18" fillId="0" borderId="36" xfId="142" applyFont="1" applyFill="1" applyBorder="1" applyAlignment="1" applyProtection="1">
      <alignment horizontal="center" vertical="center" wrapText="1"/>
      <protection hidden="1"/>
    </xf>
    <xf numFmtId="0" fontId="30" fillId="0" borderId="36" xfId="142" applyFont="1" applyFill="1" applyBorder="1" applyAlignment="1" applyProtection="1">
      <alignment horizontal="right"/>
      <protection hidden="1"/>
    </xf>
    <xf numFmtId="0" fontId="113" fillId="0" borderId="36" xfId="142" applyFont="1" applyFill="1" applyBorder="1" applyAlignment="1" applyProtection="1">
      <alignment horizontal="right"/>
      <protection hidden="1"/>
    </xf>
    <xf numFmtId="0" fontId="30" fillId="0" borderId="37" xfId="142" applyFont="1" applyFill="1" applyBorder="1" applyAlignment="1" applyProtection="1">
      <alignment horizontal="right"/>
      <protection hidden="1"/>
    </xf>
    <xf numFmtId="0" fontId="30" fillId="0" borderId="33" xfId="142" applyFont="1" applyFill="1" applyBorder="1" applyAlignment="1" applyProtection="1">
      <alignment horizontal="right"/>
      <protection hidden="1"/>
    </xf>
    <xf numFmtId="0" fontId="113" fillId="0" borderId="33" xfId="142" applyFont="1" applyFill="1" applyBorder="1" applyAlignment="1" applyProtection="1">
      <alignment horizontal="right"/>
      <protection hidden="1"/>
    </xf>
    <xf numFmtId="0" fontId="30" fillId="0" borderId="34" xfId="142" applyFont="1" applyFill="1" applyBorder="1" applyAlignment="1" applyProtection="1">
      <alignment horizontal="right"/>
      <protection hidden="1"/>
    </xf>
    <xf numFmtId="0" fontId="11" fillId="0" borderId="0" xfId="142" applyFont="1" applyFill="1" applyAlignment="1" applyProtection="1">
      <alignment vertical="top" wrapText="1"/>
      <protection hidden="1"/>
    </xf>
    <xf numFmtId="175" fontId="23" fillId="0" borderId="0" xfId="142" applyNumberFormat="1" applyFont="1" applyFill="1" applyProtection="1">
      <alignment/>
      <protection hidden="1"/>
    </xf>
    <xf numFmtId="176" fontId="23" fillId="0" borderId="0" xfId="142" applyNumberFormat="1" applyFont="1" applyFill="1" applyProtection="1">
      <alignment/>
      <protection hidden="1"/>
    </xf>
    <xf numFmtId="0" fontId="101" fillId="0" borderId="0" xfId="140">
      <alignment/>
      <protection/>
    </xf>
    <xf numFmtId="0" fontId="97" fillId="0" borderId="33" xfId="140" applyFont="1" applyBorder="1" applyAlignment="1">
      <alignment horizontal="center" vertical="top" wrapText="1"/>
      <protection/>
    </xf>
    <xf numFmtId="0" fontId="97" fillId="0" borderId="34" xfId="140" applyFont="1" applyBorder="1" applyAlignment="1">
      <alignment horizontal="center" vertical="top" wrapText="1"/>
      <protection/>
    </xf>
    <xf numFmtId="0" fontId="97" fillId="0" borderId="29" xfId="140" applyFont="1" applyBorder="1" applyAlignment="1">
      <alignment vertical="top" wrapText="1"/>
      <protection/>
    </xf>
    <xf numFmtId="0" fontId="5" fillId="0" borderId="29" xfId="140" applyFont="1" applyFill="1" applyBorder="1" applyAlignment="1">
      <alignment horizontal="center" vertical="top" wrapText="1"/>
      <protection/>
    </xf>
    <xf numFmtId="0" fontId="5" fillId="0" borderId="38" xfId="140" applyFont="1" applyFill="1" applyBorder="1" applyAlignment="1">
      <alignment horizontal="center" vertical="top" wrapText="1"/>
      <protection/>
    </xf>
    <xf numFmtId="0" fontId="114" fillId="0" borderId="28" xfId="140" applyFont="1" applyBorder="1" applyAlignment="1">
      <alignment vertical="top" wrapText="1"/>
      <protection/>
    </xf>
    <xf numFmtId="0" fontId="6" fillId="0" borderId="28" xfId="140" applyFont="1" applyFill="1" applyBorder="1" applyAlignment="1">
      <alignment horizontal="right" vertical="top" wrapText="1"/>
      <protection/>
    </xf>
    <xf numFmtId="0" fontId="6" fillId="0" borderId="30" xfId="140" applyFont="1" applyFill="1" applyBorder="1" applyAlignment="1">
      <alignment horizontal="right" vertical="top" wrapText="1"/>
      <protection/>
    </xf>
    <xf numFmtId="0" fontId="76" fillId="0" borderId="28" xfId="140" applyFont="1" applyBorder="1" applyAlignment="1">
      <alignment vertical="top" wrapText="1"/>
      <protection/>
    </xf>
    <xf numFmtId="0" fontId="6" fillId="0" borderId="28" xfId="140" applyFont="1" applyFill="1" applyBorder="1" applyAlignment="1">
      <alignment horizontal="center" wrapText="1"/>
      <protection/>
    </xf>
    <xf numFmtId="0" fontId="6" fillId="0" borderId="30" xfId="140" applyFont="1" applyFill="1" applyBorder="1" applyAlignment="1">
      <alignment horizontal="center" wrapText="1"/>
      <protection/>
    </xf>
    <xf numFmtId="0" fontId="76" fillId="0" borderId="33" xfId="140" applyFont="1" applyBorder="1" applyAlignment="1">
      <alignment vertical="top" wrapText="1"/>
      <protection/>
    </xf>
    <xf numFmtId="0" fontId="6" fillId="0" borderId="33" xfId="140" applyFont="1" applyFill="1" applyBorder="1" applyAlignment="1">
      <alignment horizontal="center" wrapText="1"/>
      <protection/>
    </xf>
    <xf numFmtId="0" fontId="6" fillId="0" borderId="34" xfId="140" applyFont="1" applyFill="1" applyBorder="1" applyAlignment="1">
      <alignment horizontal="center" wrapText="1"/>
      <protection/>
    </xf>
    <xf numFmtId="0" fontId="5" fillId="0" borderId="29" xfId="140" applyFont="1" applyFill="1" applyBorder="1" applyAlignment="1">
      <alignment horizontal="center" wrapText="1"/>
      <protection/>
    </xf>
    <xf numFmtId="0" fontId="5" fillId="0" borderId="38" xfId="140" applyFont="1" applyFill="1" applyBorder="1" applyAlignment="1">
      <alignment horizontal="center" wrapText="1"/>
      <protection/>
    </xf>
    <xf numFmtId="0" fontId="6" fillId="0" borderId="28" xfId="140" applyFont="1" applyFill="1" applyBorder="1" applyAlignment="1">
      <alignment horizontal="center" vertical="top" wrapText="1"/>
      <protection/>
    </xf>
    <xf numFmtId="0" fontId="6" fillId="0" borderId="30" xfId="140" applyFont="1" applyFill="1" applyBorder="1" applyAlignment="1">
      <alignment horizontal="center" vertical="top" wrapText="1"/>
      <protection/>
    </xf>
    <xf numFmtId="0" fontId="76" fillId="0" borderId="39" xfId="140" applyFont="1" applyBorder="1" applyAlignment="1">
      <alignment horizontal="center" vertical="top" wrapText="1"/>
      <protection/>
    </xf>
    <xf numFmtId="0" fontId="76" fillId="0" borderId="40" xfId="140" applyFont="1" applyBorder="1" applyAlignment="1">
      <alignment vertical="top" wrapText="1"/>
      <protection/>
    </xf>
    <xf numFmtId="0" fontId="76" fillId="0" borderId="40" xfId="140" applyFont="1" applyBorder="1" applyAlignment="1">
      <alignment horizontal="center" vertical="top" wrapText="1"/>
      <protection/>
    </xf>
    <xf numFmtId="0" fontId="6" fillId="0" borderId="40" xfId="140" applyFont="1" applyFill="1" applyBorder="1" applyAlignment="1">
      <alignment horizontal="center" wrapText="1"/>
      <protection/>
    </xf>
    <xf numFmtId="0" fontId="6" fillId="0" borderId="41" xfId="140" applyFont="1" applyFill="1" applyBorder="1" applyAlignment="1">
      <alignment horizontal="center" wrapText="1"/>
      <protection/>
    </xf>
    <xf numFmtId="0" fontId="6" fillId="0" borderId="42" xfId="140" applyFont="1" applyFill="1" applyBorder="1" applyAlignment="1">
      <alignment horizontal="center" wrapText="1"/>
      <protection/>
    </xf>
    <xf numFmtId="0" fontId="115" fillId="0" borderId="0" xfId="140" applyFont="1" applyAlignment="1">
      <alignment horizontal="left"/>
      <protection/>
    </xf>
    <xf numFmtId="0" fontId="76" fillId="0" borderId="0" xfId="140" applyFont="1" applyAlignment="1">
      <alignment horizontal="center"/>
      <protection/>
    </xf>
    <xf numFmtId="0" fontId="108" fillId="0" borderId="28" xfId="140" applyFont="1" applyBorder="1" applyAlignment="1">
      <alignment horizontal="center" vertical="top" wrapText="1"/>
      <protection/>
    </xf>
    <xf numFmtId="0" fontId="108" fillId="0" borderId="28" xfId="140" applyFont="1" applyBorder="1" applyAlignment="1">
      <alignment vertical="top" wrapText="1"/>
      <protection/>
    </xf>
    <xf numFmtId="0" fontId="108" fillId="0" borderId="28" xfId="140" applyFont="1" applyBorder="1" applyAlignment="1">
      <alignment horizontal="center" vertical="center" wrapText="1"/>
      <protection/>
    </xf>
    <xf numFmtId="0" fontId="108" fillId="0" borderId="28" xfId="140" applyFont="1" applyFill="1" applyBorder="1" applyAlignment="1">
      <alignment horizontal="center" vertical="center" wrapText="1"/>
      <protection/>
    </xf>
    <xf numFmtId="0" fontId="116" fillId="0" borderId="28" xfId="140" applyFont="1" applyBorder="1" applyAlignment="1">
      <alignment horizontal="left" vertical="top" wrapText="1"/>
      <protection/>
    </xf>
    <xf numFmtId="0" fontId="116" fillId="0" borderId="28" xfId="140" applyFont="1" applyFill="1" applyBorder="1" applyAlignment="1">
      <alignment horizontal="center" vertical="top" wrapText="1"/>
      <protection/>
    </xf>
    <xf numFmtId="0" fontId="76" fillId="0" borderId="28" xfId="140" applyFont="1" applyFill="1" applyBorder="1" applyAlignment="1">
      <alignment vertical="top" wrapText="1"/>
      <protection/>
    </xf>
    <xf numFmtId="3" fontId="117" fillId="0" borderId="28" xfId="140" applyNumberFormat="1" applyFont="1" applyFill="1" applyBorder="1" applyAlignment="1">
      <alignment horizontal="center" vertical="top" wrapText="1"/>
      <protection/>
    </xf>
    <xf numFmtId="0" fontId="97" fillId="0" borderId="28" xfId="140" applyFont="1" applyFill="1" applyBorder="1" applyAlignment="1">
      <alignment vertical="top" wrapText="1"/>
      <protection/>
    </xf>
    <xf numFmtId="3" fontId="118" fillId="0" borderId="28" xfId="140" applyNumberFormat="1" applyFont="1" applyFill="1" applyBorder="1" applyAlignment="1">
      <alignment horizontal="center" vertical="top" wrapText="1"/>
      <protection/>
    </xf>
    <xf numFmtId="0" fontId="101" fillId="0" borderId="0" xfId="140" applyFill="1">
      <alignment/>
      <protection/>
    </xf>
    <xf numFmtId="0" fontId="76" fillId="0" borderId="0" xfId="140" applyFont="1" applyFill="1" applyAlignment="1">
      <alignment vertical="center"/>
      <protection/>
    </xf>
    <xf numFmtId="0" fontId="76" fillId="0" borderId="0" xfId="140" applyFont="1" applyAlignment="1">
      <alignment vertical="center"/>
      <protection/>
    </xf>
    <xf numFmtId="0" fontId="76" fillId="0" borderId="28" xfId="140" applyFont="1" applyBorder="1" applyAlignment="1">
      <alignment vertical="center" wrapText="1"/>
      <protection/>
    </xf>
    <xf numFmtId="0" fontId="76" fillId="0" borderId="28" xfId="140" applyFont="1" applyFill="1" applyBorder="1" applyAlignment="1">
      <alignment vertical="center" wrapText="1"/>
      <protection/>
    </xf>
    <xf numFmtId="0" fontId="119" fillId="0" borderId="28" xfId="140" applyFont="1" applyFill="1" applyBorder="1" applyAlignment="1">
      <alignment horizontal="left" vertical="center" wrapText="1"/>
      <protection/>
    </xf>
    <xf numFmtId="0" fontId="120" fillId="0" borderId="0" xfId="140" applyFont="1" applyFill="1" applyAlignment="1">
      <alignment horizontal="right" vertical="center"/>
      <protection/>
    </xf>
    <xf numFmtId="0" fontId="121" fillId="0" borderId="0" xfId="140" applyFont="1" applyFill="1" applyAlignment="1">
      <alignment horizontal="right" vertical="center" wrapText="1"/>
      <protection/>
    </xf>
    <xf numFmtId="0" fontId="101" fillId="0" borderId="28" xfId="140" applyFont="1" applyFill="1" applyBorder="1" applyAlignment="1">
      <alignment horizontal="center" vertical="top" wrapText="1"/>
      <protection/>
    </xf>
    <xf numFmtId="0" fontId="101" fillId="0" borderId="28" xfId="140" applyFont="1" applyFill="1" applyBorder="1" applyAlignment="1">
      <alignment horizontal="center" vertical="center" wrapText="1"/>
      <protection/>
    </xf>
    <xf numFmtId="0" fontId="119" fillId="0" borderId="28" xfId="140" applyFont="1" applyBorder="1" applyAlignment="1">
      <alignment horizontal="center" vertical="center" wrapText="1"/>
      <protection/>
    </xf>
    <xf numFmtId="0" fontId="76" fillId="0" borderId="28" xfId="0" applyFont="1" applyFill="1" applyBorder="1" applyAlignment="1">
      <alignment wrapText="1"/>
    </xf>
    <xf numFmtId="0" fontId="76" fillId="0" borderId="28" xfId="138" applyBorder="1">
      <alignment/>
      <protection/>
    </xf>
    <xf numFmtId="49" fontId="76" fillId="0" borderId="0" xfId="152" applyNumberFormat="1" applyFont="1" applyFill="1" applyAlignment="1">
      <alignment vertical="top" wrapText="1"/>
    </xf>
    <xf numFmtId="0" fontId="2" fillId="0" borderId="28" xfId="0" applyFont="1" applyFill="1" applyBorder="1" applyAlignment="1">
      <alignment horizontal="justify" vertical="top" wrapText="1"/>
    </xf>
    <xf numFmtId="0" fontId="2" fillId="0" borderId="28" xfId="0" applyFont="1" applyFill="1" applyBorder="1" applyAlignment="1">
      <alignment vertical="top" wrapText="1"/>
    </xf>
    <xf numFmtId="0" fontId="76" fillId="0" borderId="0" xfId="138" applyBorder="1">
      <alignment/>
      <protection/>
    </xf>
    <xf numFmtId="172" fontId="1" fillId="0" borderId="0" xfId="157" applyNumberFormat="1" applyFont="1" applyFill="1" applyBorder="1" applyAlignment="1">
      <alignment horizontal="right"/>
    </xf>
    <xf numFmtId="0" fontId="119" fillId="0" borderId="28" xfId="140" applyFont="1" applyFill="1" applyBorder="1" applyAlignment="1">
      <alignment vertical="center" wrapText="1"/>
      <protection/>
    </xf>
    <xf numFmtId="172" fontId="117" fillId="0" borderId="28" xfId="140" applyNumberFormat="1" applyFont="1" applyFill="1" applyBorder="1" applyAlignment="1">
      <alignment horizontal="center" vertical="top" wrapText="1"/>
      <protection/>
    </xf>
    <xf numFmtId="172" fontId="118" fillId="0" borderId="28" xfId="140" applyNumberFormat="1" applyFont="1" applyFill="1" applyBorder="1" applyAlignment="1">
      <alignment horizontal="center" vertical="top" wrapText="1"/>
      <protection/>
    </xf>
    <xf numFmtId="0" fontId="11" fillId="0" borderId="28" xfId="142" applyFont="1" applyFill="1" applyBorder="1" applyAlignment="1">
      <alignment vertical="center"/>
      <protection/>
    </xf>
    <xf numFmtId="174" fontId="11" fillId="0" borderId="28" xfId="142" applyNumberFormat="1" applyFont="1" applyFill="1" applyBorder="1" applyAlignment="1">
      <alignment vertical="center"/>
      <protection/>
    </xf>
    <xf numFmtId="0" fontId="11" fillId="0" borderId="30" xfId="142" applyFont="1" applyFill="1" applyBorder="1" applyAlignment="1">
      <alignment vertical="center"/>
      <protection/>
    </xf>
    <xf numFmtId="0" fontId="115" fillId="0" borderId="0" xfId="0" applyFont="1" applyAlignment="1">
      <alignment horizontal="center" wrapText="1"/>
    </xf>
    <xf numFmtId="0" fontId="115" fillId="0" borderId="0" xfId="0" applyFont="1" applyAlignment="1">
      <alignment horizontal="center"/>
    </xf>
    <xf numFmtId="0" fontId="108" fillId="0" borderId="0" xfId="0" applyFont="1" applyBorder="1" applyAlignment="1">
      <alignment horizontal="center"/>
    </xf>
    <xf numFmtId="0" fontId="115" fillId="0" borderId="36" xfId="0" applyFont="1" applyBorder="1" applyAlignment="1">
      <alignment horizontal="center"/>
    </xf>
    <xf numFmtId="0" fontId="108" fillId="0" borderId="28" xfId="0" applyFont="1" applyBorder="1" applyAlignment="1">
      <alignment horizontal="center"/>
    </xf>
    <xf numFmtId="0" fontId="108" fillId="0" borderId="28" xfId="0" applyFont="1" applyFill="1" applyBorder="1" applyAlignment="1">
      <alignment horizontal="center"/>
    </xf>
    <xf numFmtId="0" fontId="108" fillId="0" borderId="43" xfId="0" applyFont="1" applyBorder="1" applyAlignment="1">
      <alignment horizontal="center"/>
    </xf>
    <xf numFmtId="0" fontId="108" fillId="0" borderId="44" xfId="0" applyFont="1" applyBorder="1" applyAlignment="1">
      <alignment horizontal="center"/>
    </xf>
    <xf numFmtId="0" fontId="3" fillId="0" borderId="0" xfId="139" applyFont="1" applyBorder="1" applyAlignment="1">
      <alignment horizontal="center" vertical="center" wrapText="1"/>
      <protection/>
    </xf>
    <xf numFmtId="0" fontId="10" fillId="0" borderId="0" xfId="141" applyFont="1" applyAlignment="1">
      <alignment horizontal="center" wrapText="1"/>
      <protection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11" fillId="0" borderId="0" xfId="142" applyFont="1" applyFill="1" applyBorder="1" applyAlignment="1" applyProtection="1">
      <alignment/>
      <protection hidden="1"/>
    </xf>
    <xf numFmtId="0" fontId="5" fillId="0" borderId="45" xfId="142" applyFont="1" applyFill="1" applyBorder="1" applyAlignment="1" applyProtection="1">
      <alignment horizontal="center" vertical="top" wrapText="1"/>
      <protection locked="0"/>
    </xf>
    <xf numFmtId="0" fontId="16" fillId="0" borderId="46" xfId="142" applyFont="1" applyFill="1" applyBorder="1" applyAlignment="1" applyProtection="1">
      <alignment horizontal="center" vertical="top" wrapText="1"/>
      <protection hidden="1"/>
    </xf>
    <xf numFmtId="0" fontId="16" fillId="0" borderId="31" xfId="142" applyFont="1" applyFill="1" applyBorder="1" applyAlignment="1" applyProtection="1">
      <alignment horizontal="center" vertical="top" wrapText="1"/>
      <protection hidden="1"/>
    </xf>
    <xf numFmtId="0" fontId="16" fillId="0" borderId="29" xfId="142" applyFont="1" applyFill="1" applyBorder="1" applyAlignment="1" applyProtection="1">
      <alignment horizontal="center" vertical="center"/>
      <protection hidden="1"/>
    </xf>
    <xf numFmtId="0" fontId="16" fillId="0" borderId="28" xfId="142" applyFont="1" applyFill="1" applyBorder="1" applyAlignment="1" applyProtection="1">
      <alignment horizontal="center" vertical="center"/>
      <protection hidden="1"/>
    </xf>
    <xf numFmtId="0" fontId="17" fillId="0" borderId="29" xfId="142" applyFont="1" applyFill="1" applyBorder="1" applyAlignment="1" applyProtection="1">
      <alignment horizontal="center" vertical="center"/>
      <protection hidden="1"/>
    </xf>
    <xf numFmtId="0" fontId="11" fillId="0" borderId="29" xfId="142" applyFont="1" applyFill="1" applyBorder="1" applyAlignment="1">
      <alignment/>
      <protection/>
    </xf>
    <xf numFmtId="0" fontId="11" fillId="0" borderId="38" xfId="142" applyFont="1" applyFill="1" applyBorder="1" applyAlignment="1">
      <alignment/>
      <protection/>
    </xf>
    <xf numFmtId="0" fontId="5" fillId="0" borderId="31" xfId="142" applyFont="1" applyFill="1" applyBorder="1" applyAlignment="1" applyProtection="1">
      <alignment horizontal="left" vertical="top" wrapText="1"/>
      <protection hidden="1"/>
    </xf>
    <xf numFmtId="0" fontId="11" fillId="0" borderId="28" xfId="142" applyFont="1" applyFill="1" applyBorder="1" applyAlignment="1">
      <alignment/>
      <protection/>
    </xf>
    <xf numFmtId="0" fontId="11" fillId="0" borderId="30" xfId="142" applyFont="1" applyFill="1" applyBorder="1" applyAlignment="1">
      <alignment/>
      <protection/>
    </xf>
    <xf numFmtId="0" fontId="21" fillId="0" borderId="31" xfId="142" applyFont="1" applyFill="1" applyBorder="1" applyAlignment="1" applyProtection="1">
      <alignment horizontal="left" vertical="top" wrapText="1"/>
      <protection hidden="1"/>
    </xf>
    <xf numFmtId="0" fontId="21" fillId="0" borderId="28" xfId="142" applyFont="1" applyFill="1" applyBorder="1" applyAlignment="1" applyProtection="1">
      <alignment horizontal="left" vertical="top" wrapText="1"/>
      <protection hidden="1"/>
    </xf>
    <xf numFmtId="0" fontId="22" fillId="0" borderId="31" xfId="142" applyFont="1" applyFill="1" applyBorder="1" applyAlignment="1" applyProtection="1">
      <alignment horizontal="left" vertical="top" wrapText="1"/>
      <protection hidden="1"/>
    </xf>
    <xf numFmtId="0" fontId="23" fillId="0" borderId="28" xfId="142" applyFont="1" applyFill="1" applyBorder="1" applyAlignment="1">
      <alignment/>
      <protection/>
    </xf>
    <xf numFmtId="0" fontId="23" fillId="0" borderId="30" xfId="142" applyFont="1" applyFill="1" applyBorder="1" applyAlignment="1">
      <alignment/>
      <protection/>
    </xf>
    <xf numFmtId="0" fontId="24" fillId="0" borderId="31" xfId="142" applyFont="1" applyFill="1" applyBorder="1" applyAlignment="1" applyProtection="1">
      <alignment horizontal="left" vertical="top" wrapText="1"/>
      <protection hidden="1"/>
    </xf>
    <xf numFmtId="174" fontId="22" fillId="0" borderId="31" xfId="142" applyNumberFormat="1" applyFont="1" applyFill="1" applyBorder="1" applyAlignment="1" applyProtection="1">
      <alignment horizontal="left" vertical="top" wrapText="1"/>
      <protection hidden="1"/>
    </xf>
    <xf numFmtId="174" fontId="11" fillId="0" borderId="28" xfId="142" applyNumberFormat="1" applyFont="1" applyFill="1" applyBorder="1" applyAlignment="1">
      <alignment/>
      <protection/>
    </xf>
    <xf numFmtId="0" fontId="22" fillId="0" borderId="31" xfId="142" applyFont="1" applyFill="1" applyBorder="1" applyAlignment="1" applyProtection="1">
      <alignment vertical="top" wrapText="1"/>
      <protection hidden="1"/>
    </xf>
    <xf numFmtId="0" fontId="22" fillId="0" borderId="28" xfId="142" applyFont="1" applyFill="1" applyBorder="1" applyAlignment="1" applyProtection="1">
      <alignment horizontal="left" vertical="top" wrapText="1"/>
      <protection hidden="1"/>
    </xf>
    <xf numFmtId="0" fontId="11" fillId="0" borderId="28" xfId="142" applyFont="1" applyFill="1" applyBorder="1" applyAlignment="1">
      <alignment horizontal="left"/>
      <protection/>
    </xf>
    <xf numFmtId="0" fontId="11" fillId="0" borderId="28" xfId="142" applyFont="1" applyFill="1" applyBorder="1" applyAlignment="1">
      <alignment wrapText="1"/>
      <protection/>
    </xf>
    <xf numFmtId="0" fontId="26" fillId="0" borderId="47" xfId="142" applyFont="1" applyFill="1" applyBorder="1" applyAlignment="1" applyProtection="1">
      <alignment horizontal="left" vertical="top" wrapText="1"/>
      <protection hidden="1"/>
    </xf>
    <xf numFmtId="0" fontId="26" fillId="0" borderId="48" xfId="142" applyFont="1" applyFill="1" applyBorder="1" applyAlignment="1" applyProtection="1">
      <alignment horizontal="left" vertical="top" wrapText="1"/>
      <protection hidden="1"/>
    </xf>
    <xf numFmtId="0" fontId="26" fillId="0" borderId="49" xfId="142" applyFont="1" applyFill="1" applyBorder="1" applyAlignment="1" applyProtection="1">
      <alignment horizontal="left" vertical="top" wrapText="1"/>
      <protection hidden="1"/>
    </xf>
    <xf numFmtId="0" fontId="2" fillId="0" borderId="31" xfId="142" applyFont="1" applyFill="1" applyBorder="1" applyAlignment="1" applyProtection="1">
      <alignment horizontal="left" vertical="top" wrapText="1"/>
      <protection hidden="1"/>
    </xf>
    <xf numFmtId="0" fontId="2" fillId="0" borderId="28" xfId="142" applyFont="1" applyFill="1" applyBorder="1" applyAlignment="1" applyProtection="1">
      <alignment horizontal="left" vertical="top" wrapText="1"/>
      <protection hidden="1"/>
    </xf>
    <xf numFmtId="0" fontId="22" fillId="0" borderId="31" xfId="142" applyFont="1" applyFill="1" applyBorder="1" applyAlignment="1" applyProtection="1">
      <alignment horizontal="left" vertical="top" wrapText="1"/>
      <protection hidden="1"/>
    </xf>
    <xf numFmtId="0" fontId="22" fillId="0" borderId="28" xfId="142" applyFont="1" applyFill="1" applyBorder="1" applyAlignment="1" applyProtection="1">
      <alignment horizontal="left" vertical="top" wrapText="1"/>
      <protection hidden="1"/>
    </xf>
    <xf numFmtId="0" fontId="11" fillId="0" borderId="28" xfId="142" applyFont="1" applyFill="1" applyBorder="1" applyAlignment="1">
      <alignment horizontal="left" vertical="top" wrapText="1"/>
      <protection/>
    </xf>
    <xf numFmtId="0" fontId="5" fillId="0" borderId="28" xfId="142" applyFont="1" applyFill="1" applyBorder="1" applyAlignment="1" applyProtection="1">
      <alignment horizontal="left" vertical="top" wrapText="1"/>
      <protection hidden="1"/>
    </xf>
    <xf numFmtId="0" fontId="22" fillId="0" borderId="30" xfId="142" applyFont="1" applyFill="1" applyBorder="1" applyAlignment="1" applyProtection="1">
      <alignment horizontal="left" vertical="top" wrapText="1"/>
      <protection hidden="1"/>
    </xf>
    <xf numFmtId="0" fontId="97" fillId="0" borderId="29" xfId="140" applyFont="1" applyBorder="1" applyAlignment="1">
      <alignment horizontal="center" vertical="center" wrapText="1"/>
      <protection/>
    </xf>
    <xf numFmtId="0" fontId="97" fillId="0" borderId="33" xfId="140" applyFont="1" applyBorder="1" applyAlignment="1">
      <alignment horizontal="center" vertical="center" wrapText="1"/>
      <protection/>
    </xf>
    <xf numFmtId="0" fontId="97" fillId="0" borderId="38" xfId="140" applyFont="1" applyBorder="1" applyAlignment="1">
      <alignment horizontal="center" vertical="center" wrapText="1"/>
      <protection/>
    </xf>
    <xf numFmtId="0" fontId="76" fillId="0" borderId="46" xfId="140" applyFont="1" applyBorder="1" applyAlignment="1">
      <alignment horizontal="center" vertical="center" wrapText="1"/>
      <protection/>
    </xf>
    <xf numFmtId="0" fontId="76" fillId="0" borderId="31" xfId="140" applyFont="1" applyBorder="1" applyAlignment="1">
      <alignment horizontal="center" vertical="center" wrapText="1"/>
      <protection/>
    </xf>
    <xf numFmtId="0" fontId="76" fillId="0" borderId="32" xfId="140" applyFont="1" applyBorder="1" applyAlignment="1">
      <alignment horizontal="center" vertical="center" wrapText="1"/>
      <protection/>
    </xf>
    <xf numFmtId="0" fontId="76" fillId="0" borderId="29" xfId="140" applyFont="1" applyBorder="1" applyAlignment="1">
      <alignment horizontal="center" vertical="center" wrapText="1"/>
      <protection/>
    </xf>
    <xf numFmtId="0" fontId="76" fillId="0" borderId="28" xfId="140" applyFont="1" applyBorder="1" applyAlignment="1">
      <alignment horizontal="center" vertical="center" wrapText="1"/>
      <protection/>
    </xf>
    <xf numFmtId="0" fontId="76" fillId="0" borderId="33" xfId="140" applyFont="1" applyBorder="1" applyAlignment="1">
      <alignment horizontal="center" vertical="center" wrapText="1"/>
      <protection/>
    </xf>
    <xf numFmtId="0" fontId="120" fillId="0" borderId="0" xfId="140" applyFont="1" applyFill="1" applyAlignment="1">
      <alignment horizontal="right" vertical="center"/>
      <protection/>
    </xf>
    <xf numFmtId="0" fontId="121" fillId="0" borderId="0" xfId="140" applyFont="1" applyFill="1" applyAlignment="1">
      <alignment horizontal="right" vertical="center" wrapText="1"/>
      <protection/>
    </xf>
    <xf numFmtId="0" fontId="115" fillId="0" borderId="0" xfId="140" applyFont="1" applyBorder="1" applyAlignment="1">
      <alignment horizontal="center" wrapText="1"/>
      <protection/>
    </xf>
    <xf numFmtId="0" fontId="97" fillId="0" borderId="46" xfId="140" applyFont="1" applyBorder="1" applyAlignment="1">
      <alignment horizontal="center" vertical="center" wrapText="1"/>
      <protection/>
    </xf>
    <xf numFmtId="0" fontId="97" fillId="0" borderId="32" xfId="140" applyFont="1" applyBorder="1" applyAlignment="1">
      <alignment horizontal="center" vertical="center" wrapText="1"/>
      <protection/>
    </xf>
    <xf numFmtId="0" fontId="10" fillId="0" borderId="0" xfId="140" applyFont="1" applyAlignment="1">
      <alignment horizontal="center" wrapText="1"/>
      <protection/>
    </xf>
    <xf numFmtId="0" fontId="101" fillId="0" borderId="28" xfId="140" applyFont="1" applyFill="1" applyBorder="1" applyAlignment="1">
      <alignment horizontal="center" vertical="center" wrapText="1"/>
      <protection/>
    </xf>
    <xf numFmtId="0" fontId="101" fillId="0" borderId="28" xfId="140" applyFont="1" applyFill="1" applyBorder="1" applyAlignment="1">
      <alignment horizontal="center" vertical="top" wrapText="1"/>
      <protection/>
    </xf>
    <xf numFmtId="0" fontId="122" fillId="0" borderId="28" xfId="140" applyFont="1" applyFill="1" applyBorder="1" applyAlignment="1">
      <alignment vertical="top" wrapText="1"/>
      <protection/>
    </xf>
    <xf numFmtId="0" fontId="120" fillId="0" borderId="0" xfId="140" applyFont="1" applyAlignment="1">
      <alignment horizontal="center"/>
      <protection/>
    </xf>
    <xf numFmtId="0" fontId="120" fillId="0" borderId="28" xfId="140" applyFont="1" applyFill="1" applyBorder="1" applyAlignment="1">
      <alignment horizontal="center" vertical="top" wrapText="1"/>
      <protection/>
    </xf>
    <xf numFmtId="0" fontId="119" fillId="0" borderId="28" xfId="140" applyFont="1" applyBorder="1" applyAlignment="1">
      <alignment horizontal="center" vertical="center" wrapText="1"/>
      <protection/>
    </xf>
    <xf numFmtId="0" fontId="115" fillId="0" borderId="0" xfId="140" applyFont="1" applyFill="1" applyAlignment="1">
      <alignment horizontal="center" vertical="center"/>
      <protection/>
    </xf>
  </cellXfs>
  <cellStyles count="1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52" xfId="35"/>
    <cellStyle name="style0" xfId="36"/>
    <cellStyle name="style0 2" xfId="37"/>
    <cellStyle name="td" xfId="38"/>
    <cellStyle name="td 2" xfId="39"/>
    <cellStyle name="tr" xfId="40"/>
    <cellStyle name="xl21" xfId="41"/>
    <cellStyle name="xl21 2" xfId="42"/>
    <cellStyle name="xl22" xfId="43"/>
    <cellStyle name="xl22 2" xfId="44"/>
    <cellStyle name="xl23" xfId="45"/>
    <cellStyle name="xl23 2" xfId="46"/>
    <cellStyle name="xl24" xfId="47"/>
    <cellStyle name="xl24 2" xfId="48"/>
    <cellStyle name="xl25" xfId="49"/>
    <cellStyle name="xl25 2" xfId="50"/>
    <cellStyle name="xl26" xfId="51"/>
    <cellStyle name="xl26 2" xfId="52"/>
    <cellStyle name="xl27" xfId="53"/>
    <cellStyle name="xl27 2" xfId="54"/>
    <cellStyle name="xl28" xfId="55"/>
    <cellStyle name="xl28 2" xfId="56"/>
    <cellStyle name="xl29" xfId="57"/>
    <cellStyle name="xl29 2" xfId="58"/>
    <cellStyle name="xl30" xfId="59"/>
    <cellStyle name="xl30 2" xfId="60"/>
    <cellStyle name="xl31" xfId="61"/>
    <cellStyle name="xl31 2" xfId="62"/>
    <cellStyle name="xl32" xfId="63"/>
    <cellStyle name="xl32 2" xfId="64"/>
    <cellStyle name="xl33" xfId="65"/>
    <cellStyle name="xl33 2" xfId="66"/>
    <cellStyle name="xl34" xfId="67"/>
    <cellStyle name="xl34 2" xfId="68"/>
    <cellStyle name="xl35" xfId="69"/>
    <cellStyle name="xl35 2" xfId="70"/>
    <cellStyle name="xl36" xfId="71"/>
    <cellStyle name="xl37" xfId="72"/>
    <cellStyle name="xl38" xfId="73"/>
    <cellStyle name="xl39" xfId="74"/>
    <cellStyle name="xl40" xfId="75"/>
    <cellStyle name="xl41" xfId="76"/>
    <cellStyle name="xl42" xfId="77"/>
    <cellStyle name="xl43" xfId="78"/>
    <cellStyle name="xl44" xfId="79"/>
    <cellStyle name="xl45" xfId="80"/>
    <cellStyle name="xl46" xfId="81"/>
    <cellStyle name="xl47" xfId="82"/>
    <cellStyle name="xl48" xfId="83"/>
    <cellStyle name="xl49" xfId="84"/>
    <cellStyle name="xl50" xfId="85"/>
    <cellStyle name="xl51" xfId="86"/>
    <cellStyle name="xl52" xfId="87"/>
    <cellStyle name="xl53" xfId="88"/>
    <cellStyle name="xl54" xfId="89"/>
    <cellStyle name="xl55" xfId="90"/>
    <cellStyle name="xl56" xfId="91"/>
    <cellStyle name="xl57" xfId="92"/>
    <cellStyle name="xl58" xfId="93"/>
    <cellStyle name="xl59" xfId="94"/>
    <cellStyle name="xl60" xfId="95"/>
    <cellStyle name="xl61" xfId="96"/>
    <cellStyle name="xl62" xfId="97"/>
    <cellStyle name="xl63" xfId="98"/>
    <cellStyle name="xl64" xfId="99"/>
    <cellStyle name="xl65" xfId="100"/>
    <cellStyle name="xl66" xfId="101"/>
    <cellStyle name="xl67" xfId="102"/>
    <cellStyle name="Акцент1" xfId="103"/>
    <cellStyle name="Акцент2" xfId="104"/>
    <cellStyle name="Акцент3" xfId="105"/>
    <cellStyle name="Акцент4" xfId="106"/>
    <cellStyle name="Акцент5" xfId="107"/>
    <cellStyle name="Акцент6" xfId="108"/>
    <cellStyle name="Ввод " xfId="109"/>
    <cellStyle name="Вывод" xfId="110"/>
    <cellStyle name="Вычисление" xfId="111"/>
    <cellStyle name="Currency" xfId="112"/>
    <cellStyle name="Currency [0]" xfId="113"/>
    <cellStyle name="Заголовок 1" xfId="114"/>
    <cellStyle name="Заголовок 2" xfId="115"/>
    <cellStyle name="Заголовок 3" xfId="116"/>
    <cellStyle name="Заголовок 4" xfId="117"/>
    <cellStyle name="Итог" xfId="118"/>
    <cellStyle name="Контрольная ячейка" xfId="119"/>
    <cellStyle name="Название" xfId="120"/>
    <cellStyle name="Нейтральный" xfId="121"/>
    <cellStyle name="Обычный 2" xfId="122"/>
    <cellStyle name="Обычный 2 10" xfId="123"/>
    <cellStyle name="Обычный 2 11" xfId="124"/>
    <cellStyle name="Обычный 2 12" xfId="125"/>
    <cellStyle name="Обычный 2 13" xfId="126"/>
    <cellStyle name="Обычный 2 14" xfId="127"/>
    <cellStyle name="Обычный 2 15" xfId="128"/>
    <cellStyle name="Обычный 2 16" xfId="129"/>
    <cellStyle name="Обычный 2 2" xfId="130"/>
    <cellStyle name="Обычный 2 3" xfId="131"/>
    <cellStyle name="Обычный 2 4" xfId="132"/>
    <cellStyle name="Обычный 2 5" xfId="133"/>
    <cellStyle name="Обычный 2 6" xfId="134"/>
    <cellStyle name="Обычный 2 7" xfId="135"/>
    <cellStyle name="Обычный 2 8" xfId="136"/>
    <cellStyle name="Обычный 2 9" xfId="137"/>
    <cellStyle name="Обычный 3" xfId="138"/>
    <cellStyle name="Обычный 4" xfId="139"/>
    <cellStyle name="Обычный 5" xfId="140"/>
    <cellStyle name="Обычный_Книга6" xfId="141"/>
    <cellStyle name="Обычный_Прогноз 2011" xfId="142"/>
    <cellStyle name="Плохой" xfId="143"/>
    <cellStyle name="Пояснение" xfId="144"/>
    <cellStyle name="Примечание" xfId="145"/>
    <cellStyle name="Percent" xfId="146"/>
    <cellStyle name="Связанная ячейка" xfId="147"/>
    <cellStyle name="Стиль 1" xfId="148"/>
    <cellStyle name="Текст предупреждения" xfId="149"/>
    <cellStyle name="Comma" xfId="150"/>
    <cellStyle name="Comma [0]" xfId="151"/>
    <cellStyle name="Финансовый 10" xfId="152"/>
    <cellStyle name="Финансовый 11" xfId="153"/>
    <cellStyle name="Финансовый 13" xfId="154"/>
    <cellStyle name="Финансовый 14" xfId="155"/>
    <cellStyle name="Финансовый 2" xfId="156"/>
    <cellStyle name="Финансовый 4" xfId="157"/>
    <cellStyle name="Финансовый 5" xfId="158"/>
    <cellStyle name="Финансовый 6" xfId="159"/>
    <cellStyle name="Финансовый 7" xfId="160"/>
    <cellStyle name="Финансовый 8" xfId="161"/>
    <cellStyle name="Финансовый 9" xfId="162"/>
    <cellStyle name="Хороший" xfId="1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">
      <selection activeCell="J12" sqref="J12"/>
    </sheetView>
  </sheetViews>
  <sheetFormatPr defaultColWidth="9.140625" defaultRowHeight="15"/>
  <cols>
    <col min="1" max="1" width="18.28125" style="0" customWidth="1"/>
    <col min="2" max="2" width="14.57421875" style="0" bestFit="1" customWidth="1"/>
    <col min="3" max="3" width="36.28125" style="0" customWidth="1"/>
    <col min="4" max="4" width="31.57421875" style="0" customWidth="1"/>
  </cols>
  <sheetData>
    <row r="1" spans="1:4" ht="60.75" customHeight="1">
      <c r="A1" s="365" t="s">
        <v>240</v>
      </c>
      <c r="B1" s="365"/>
      <c r="C1" s="365"/>
      <c r="D1" s="365"/>
    </row>
    <row r="2" spans="1:4" s="61" customFormat="1" ht="18.75">
      <c r="A2" s="367" t="s">
        <v>239</v>
      </c>
      <c r="B2" s="367"/>
      <c r="C2" s="367"/>
      <c r="D2" s="367"/>
    </row>
    <row r="3" spans="1:4" s="61" customFormat="1" ht="18.75">
      <c r="A3" s="96"/>
      <c r="B3" s="96"/>
      <c r="C3" s="96"/>
      <c r="D3" s="96"/>
    </row>
    <row r="4" spans="1:4" s="61" customFormat="1" ht="18.75">
      <c r="A4" s="368" t="s">
        <v>231</v>
      </c>
      <c r="B4" s="368"/>
      <c r="C4" s="368"/>
      <c r="D4" s="368"/>
    </row>
    <row r="5" spans="1:4" s="61" customFormat="1" ht="18.75">
      <c r="A5" s="369" t="s">
        <v>221</v>
      </c>
      <c r="B5" s="369"/>
      <c r="C5" s="369" t="s">
        <v>237</v>
      </c>
      <c r="D5" s="369"/>
    </row>
    <row r="6" spans="1:4" s="61" customFormat="1" ht="18.75">
      <c r="A6" s="369" t="s">
        <v>232</v>
      </c>
      <c r="B6" s="369"/>
      <c r="C6" s="369" t="s">
        <v>237</v>
      </c>
      <c r="D6" s="369"/>
    </row>
    <row r="7" spans="1:4" s="61" customFormat="1" ht="18.75">
      <c r="A7" s="369" t="s">
        <v>233</v>
      </c>
      <c r="B7" s="369"/>
      <c r="C7" s="369" t="s">
        <v>237</v>
      </c>
      <c r="D7" s="369"/>
    </row>
    <row r="8" spans="1:4" s="61" customFormat="1" ht="18.75">
      <c r="A8" s="369" t="s">
        <v>234</v>
      </c>
      <c r="B8" s="369"/>
      <c r="C8" s="369" t="s">
        <v>237</v>
      </c>
      <c r="D8" s="369"/>
    </row>
    <row r="9" spans="1:4" s="61" customFormat="1" ht="18.75">
      <c r="A9" s="369" t="s">
        <v>222</v>
      </c>
      <c r="B9" s="369"/>
      <c r="C9" s="369" t="s">
        <v>238</v>
      </c>
      <c r="D9" s="369"/>
    </row>
    <row r="10" spans="1:4" s="61" customFormat="1" ht="18.75">
      <c r="A10" s="369" t="s">
        <v>235</v>
      </c>
      <c r="B10" s="369"/>
      <c r="C10" s="369" t="s">
        <v>223</v>
      </c>
      <c r="D10" s="369"/>
    </row>
    <row r="11" spans="1:4" s="61" customFormat="1" ht="18.75">
      <c r="A11" s="369" t="s">
        <v>236</v>
      </c>
      <c r="B11" s="369"/>
      <c r="C11" s="369" t="s">
        <v>223</v>
      </c>
      <c r="D11" s="369"/>
    </row>
    <row r="12" spans="1:4" s="61" customFormat="1" ht="18.75">
      <c r="A12" s="367"/>
      <c r="B12" s="367"/>
      <c r="C12" s="95"/>
      <c r="D12" s="97"/>
    </row>
    <row r="13" spans="1:4" s="61" customFormat="1" ht="18.75">
      <c r="A13" s="366" t="s">
        <v>226</v>
      </c>
      <c r="B13" s="366"/>
      <c r="C13" s="366"/>
      <c r="D13" s="366"/>
    </row>
    <row r="14" spans="1:4" s="61" customFormat="1" ht="37.5">
      <c r="A14" s="94" t="s">
        <v>225</v>
      </c>
      <c r="B14" s="94" t="s">
        <v>227</v>
      </c>
      <c r="C14" s="98" t="s">
        <v>242</v>
      </c>
      <c r="D14" s="98" t="s">
        <v>224</v>
      </c>
    </row>
    <row r="15" spans="1:4" ht="18.75">
      <c r="A15" s="94" t="s">
        <v>243</v>
      </c>
      <c r="B15" s="94" t="s">
        <v>228</v>
      </c>
      <c r="C15" s="371" t="s">
        <v>241</v>
      </c>
      <c r="D15" s="372"/>
    </row>
    <row r="16" s="61" customFormat="1" ht="15"/>
    <row r="17" spans="1:4" ht="18.75">
      <c r="A17" s="366" t="s">
        <v>229</v>
      </c>
      <c r="B17" s="366"/>
      <c r="C17" s="366"/>
      <c r="D17" s="366"/>
    </row>
    <row r="18" spans="1:4" ht="18.75">
      <c r="A18" s="369" t="s">
        <v>233</v>
      </c>
      <c r="B18" s="369"/>
      <c r="C18" s="370" t="s">
        <v>230</v>
      </c>
      <c r="D18" s="370"/>
    </row>
    <row r="19" spans="3:4" ht="18.75">
      <c r="C19" s="93" t="s">
        <v>508</v>
      </c>
      <c r="D19" s="93"/>
    </row>
    <row r="20" spans="3:4" ht="18.75">
      <c r="C20" s="93"/>
      <c r="D20" s="93"/>
    </row>
    <row r="22" spans="1:2" ht="18.75">
      <c r="A22" s="367"/>
      <c r="B22" s="367"/>
    </row>
  </sheetData>
  <sheetProtection/>
  <mergeCells count="24">
    <mergeCell ref="C5:D5"/>
    <mergeCell ref="C6:D6"/>
    <mergeCell ref="C7:D7"/>
    <mergeCell ref="C8:D8"/>
    <mergeCell ref="C9:D9"/>
    <mergeCell ref="A17:D17"/>
    <mergeCell ref="A18:B18"/>
    <mergeCell ref="C18:D18"/>
    <mergeCell ref="C15:D15"/>
    <mergeCell ref="A8:B8"/>
    <mergeCell ref="A9:B9"/>
    <mergeCell ref="A10:B10"/>
    <mergeCell ref="A11:B11"/>
    <mergeCell ref="A12:B12"/>
    <mergeCell ref="A1:D1"/>
    <mergeCell ref="A13:D13"/>
    <mergeCell ref="A22:B22"/>
    <mergeCell ref="A4:D4"/>
    <mergeCell ref="A5:B5"/>
    <mergeCell ref="A6:B6"/>
    <mergeCell ref="A7:B7"/>
    <mergeCell ref="C10:D10"/>
    <mergeCell ref="C11:D11"/>
    <mergeCell ref="A2:D2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5"/>
  <sheetViews>
    <sheetView zoomScalePageLayoutView="0" workbookViewId="0" topLeftCell="C103">
      <selection activeCell="F67" sqref="F67"/>
    </sheetView>
  </sheetViews>
  <sheetFormatPr defaultColWidth="9.140625" defaultRowHeight="15"/>
  <cols>
    <col min="1" max="1" width="9.140625" style="1" hidden="1" customWidth="1"/>
    <col min="2" max="2" width="28.28125" style="1" hidden="1" customWidth="1"/>
    <col min="3" max="3" width="72.28125" style="1" customWidth="1"/>
    <col min="4" max="5" width="15.57421875" style="1" customWidth="1"/>
    <col min="6" max="6" width="12.7109375" style="1" bestFit="1" customWidth="1"/>
    <col min="7" max="7" width="12.7109375" style="1" customWidth="1"/>
    <col min="8" max="8" width="10.140625" style="1" bestFit="1" customWidth="1"/>
    <col min="9" max="16384" width="9.140625" style="1" customWidth="1"/>
  </cols>
  <sheetData>
    <row r="1" spans="3:6" ht="18.75" customHeight="1">
      <c r="C1" s="373" t="s">
        <v>193</v>
      </c>
      <c r="D1" s="373"/>
      <c r="E1" s="373"/>
      <c r="F1" s="373"/>
    </row>
    <row r="2" spans="2:6" ht="15.75">
      <c r="B2" s="3"/>
      <c r="C2" s="2"/>
      <c r="D2" s="2"/>
      <c r="F2" s="4" t="s">
        <v>0</v>
      </c>
    </row>
    <row r="3" spans="2:6" ht="47.25">
      <c r="B3" s="5" t="s">
        <v>1</v>
      </c>
      <c r="C3" s="82" t="s">
        <v>2</v>
      </c>
      <c r="D3" s="82" t="s">
        <v>535</v>
      </c>
      <c r="E3" s="82" t="s">
        <v>509</v>
      </c>
      <c r="F3" s="83" t="s">
        <v>510</v>
      </c>
    </row>
    <row r="4" spans="2:6" ht="15.75">
      <c r="B4" s="6" t="s">
        <v>3</v>
      </c>
      <c r="C4" s="6" t="s">
        <v>4</v>
      </c>
      <c r="D4" s="7">
        <f>SUM(D5,D12)</f>
        <v>149917.2</v>
      </c>
      <c r="E4" s="7">
        <f>SUM(E5,E12)</f>
        <v>145808.4</v>
      </c>
      <c r="F4" s="7">
        <f>SUM(F5,F12)</f>
        <v>152281.6</v>
      </c>
    </row>
    <row r="5" spans="2:6" ht="15.75">
      <c r="B5" s="6"/>
      <c r="C5" s="6" t="s">
        <v>5</v>
      </c>
      <c r="D5" s="7">
        <f>SUM(D6,D7,D8,D9,D10,D11)</f>
        <v>126148</v>
      </c>
      <c r="E5" s="7">
        <f>SUM(E6,E7,E8,E9,E10,E11)</f>
        <v>125945</v>
      </c>
      <c r="F5" s="7">
        <f>SUM(F6,F7,F8,F9,F10,F11)</f>
        <v>142883.9</v>
      </c>
    </row>
    <row r="6" spans="2:6" ht="15.75">
      <c r="B6" s="52" t="s">
        <v>6</v>
      </c>
      <c r="C6" s="88" t="s">
        <v>194</v>
      </c>
      <c r="D6" s="53">
        <v>104831.2</v>
      </c>
      <c r="E6" s="53">
        <v>104141.8</v>
      </c>
      <c r="F6" s="53">
        <v>119061</v>
      </c>
    </row>
    <row r="7" spans="2:6" ht="31.5">
      <c r="B7" s="10" t="s">
        <v>7</v>
      </c>
      <c r="C7" s="88" t="s">
        <v>195</v>
      </c>
      <c r="D7" s="11">
        <v>3808.1</v>
      </c>
      <c r="E7" s="11">
        <v>2652.2</v>
      </c>
      <c r="F7" s="11">
        <v>2722.9</v>
      </c>
    </row>
    <row r="8" spans="2:6" ht="15.75">
      <c r="B8" s="10" t="s">
        <v>8</v>
      </c>
      <c r="C8" s="88" t="s">
        <v>196</v>
      </c>
      <c r="D8" s="11">
        <v>15878.7</v>
      </c>
      <c r="E8" s="11">
        <v>17658</v>
      </c>
      <c r="F8" s="11">
        <v>19380</v>
      </c>
    </row>
    <row r="9" spans="2:6" ht="15.75">
      <c r="B9" s="14" t="s">
        <v>9</v>
      </c>
      <c r="C9" s="88" t="s">
        <v>197</v>
      </c>
      <c r="D9" s="11">
        <v>1262.7</v>
      </c>
      <c r="E9" s="11">
        <v>882</v>
      </c>
      <c r="F9" s="11">
        <v>1270</v>
      </c>
    </row>
    <row r="10" spans="2:6" ht="15.75">
      <c r="B10" s="10" t="s">
        <v>10</v>
      </c>
      <c r="C10" s="88" t="s">
        <v>198</v>
      </c>
      <c r="D10" s="11">
        <v>330.3</v>
      </c>
      <c r="E10" s="11">
        <v>611</v>
      </c>
      <c r="F10" s="11">
        <v>450</v>
      </c>
    </row>
    <row r="11" spans="2:6" ht="31.5">
      <c r="B11" s="10" t="s">
        <v>185</v>
      </c>
      <c r="C11" s="88" t="s">
        <v>199</v>
      </c>
      <c r="D11" s="11">
        <v>37</v>
      </c>
      <c r="E11" s="11">
        <v>0</v>
      </c>
      <c r="F11" s="11">
        <v>0</v>
      </c>
    </row>
    <row r="12" spans="2:12" s="16" customFormat="1" ht="15.75">
      <c r="B12" s="8"/>
      <c r="C12" s="8" t="s">
        <v>11</v>
      </c>
      <c r="D12" s="9">
        <f>SUM(D13,D14,D15,D16,D17)</f>
        <v>23769.199999999997</v>
      </c>
      <c r="E12" s="9">
        <f>SUM(E13,E14,E15,E16,E17)</f>
        <v>19863.4</v>
      </c>
      <c r="F12" s="9">
        <f>SUM(F13,F14,F15,F16,F17)</f>
        <v>9397.7</v>
      </c>
      <c r="G12" s="15"/>
      <c r="H12" s="15"/>
      <c r="I12" s="1"/>
      <c r="J12" s="15"/>
      <c r="K12" s="15"/>
      <c r="L12" s="15"/>
    </row>
    <row r="13" spans="2:6" ht="31.5">
      <c r="B13" s="10" t="s">
        <v>12</v>
      </c>
      <c r="C13" s="88" t="s">
        <v>200</v>
      </c>
      <c r="D13" s="11">
        <v>11679.1</v>
      </c>
      <c r="E13" s="11">
        <v>7996.8</v>
      </c>
      <c r="F13" s="11">
        <v>7479.3</v>
      </c>
    </row>
    <row r="14" spans="2:6" ht="15.75">
      <c r="B14" s="10" t="s">
        <v>13</v>
      </c>
      <c r="C14" s="88" t="s">
        <v>201</v>
      </c>
      <c r="D14" s="11">
        <v>2086.7</v>
      </c>
      <c r="E14" s="11">
        <v>2408.6</v>
      </c>
      <c r="F14" s="11">
        <v>1404.4</v>
      </c>
    </row>
    <row r="15" spans="1:9" ht="16.5" customHeight="1">
      <c r="A15" s="61"/>
      <c r="B15" s="13" t="s">
        <v>14</v>
      </c>
      <c r="C15" s="89" t="s">
        <v>202</v>
      </c>
      <c r="D15" s="11">
        <v>3726.6</v>
      </c>
      <c r="E15" s="11">
        <v>9242</v>
      </c>
      <c r="F15" s="11">
        <v>0</v>
      </c>
      <c r="I15" s="1"/>
    </row>
    <row r="16" spans="1:9" ht="15.75">
      <c r="A16" s="61"/>
      <c r="B16" s="13" t="s">
        <v>182</v>
      </c>
      <c r="C16" s="89" t="s">
        <v>203</v>
      </c>
      <c r="D16" s="11">
        <v>59</v>
      </c>
      <c r="E16" s="11">
        <v>0</v>
      </c>
      <c r="F16" s="11">
        <v>0</v>
      </c>
      <c r="I16" s="1"/>
    </row>
    <row r="17" spans="2:6" ht="15.75">
      <c r="B17" s="10" t="s">
        <v>15</v>
      </c>
      <c r="C17" s="88" t="s">
        <v>204</v>
      </c>
      <c r="D17" s="11">
        <v>6217.8</v>
      </c>
      <c r="E17" s="11">
        <v>216</v>
      </c>
      <c r="F17" s="11">
        <v>514</v>
      </c>
    </row>
    <row r="18" spans="2:6" ht="15.75">
      <c r="B18" s="8" t="s">
        <v>16</v>
      </c>
      <c r="C18" s="8" t="s">
        <v>17</v>
      </c>
      <c r="D18" s="17">
        <f>SUM(D19,D65,D66)</f>
        <v>1109430.5999999999</v>
      </c>
      <c r="E18" s="17">
        <f>SUM(E19,E65,E66)</f>
        <v>1149042.4000000001</v>
      </c>
      <c r="F18" s="17">
        <f>SUM(F19,F65,F66)</f>
        <v>937276.7000000001</v>
      </c>
    </row>
    <row r="19" spans="2:6" ht="31.5">
      <c r="B19" s="8" t="s">
        <v>18</v>
      </c>
      <c r="C19" s="18" t="s">
        <v>19</v>
      </c>
      <c r="D19" s="17">
        <f>SUM(D20,D21,D47,D61)</f>
        <v>1112799.0999999999</v>
      </c>
      <c r="E19" s="17">
        <f>SUM(E20,E21,E47,E61)</f>
        <v>1158372.6</v>
      </c>
      <c r="F19" s="17">
        <f>SUM(F20,F21,F47,F61)</f>
        <v>937276.7000000001</v>
      </c>
    </row>
    <row r="20" spans="2:6" ht="31.5">
      <c r="B20" s="8" t="s">
        <v>20</v>
      </c>
      <c r="C20" s="8" t="s">
        <v>21</v>
      </c>
      <c r="D20" s="9">
        <v>502674.1</v>
      </c>
      <c r="E20" s="9">
        <v>522932.8</v>
      </c>
      <c r="F20" s="9">
        <v>453310.2</v>
      </c>
    </row>
    <row r="21" spans="2:6" ht="31.5">
      <c r="B21" s="8" t="s">
        <v>22</v>
      </c>
      <c r="C21" s="8" t="s">
        <v>23</v>
      </c>
      <c r="D21" s="17">
        <f>SUM(D22:D23,D24)</f>
        <v>223156.3</v>
      </c>
      <c r="E21" s="17">
        <f>SUM(E22:E23,E24)</f>
        <v>207320</v>
      </c>
      <c r="F21" s="17">
        <f>SUM(F22:F23,F24)</f>
        <v>36839.600000000006</v>
      </c>
    </row>
    <row r="22" spans="2:6" ht="31.5">
      <c r="B22" s="8"/>
      <c r="C22" s="10" t="s">
        <v>511</v>
      </c>
      <c r="D22" s="19">
        <v>0</v>
      </c>
      <c r="E22" s="19">
        <v>120143.5</v>
      </c>
      <c r="F22" s="19">
        <v>0</v>
      </c>
    </row>
    <row r="23" spans="1:6" ht="52.5" customHeight="1">
      <c r="A23" s="61"/>
      <c r="B23" s="13" t="s">
        <v>24</v>
      </c>
      <c r="C23" s="13" t="s">
        <v>183</v>
      </c>
      <c r="D23" s="11">
        <v>5415.4</v>
      </c>
      <c r="E23" s="11">
        <v>3500</v>
      </c>
      <c r="F23" s="11">
        <v>0</v>
      </c>
    </row>
    <row r="24" spans="2:6" ht="15.75">
      <c r="B24" s="10" t="s">
        <v>25</v>
      </c>
      <c r="C24" s="10" t="s">
        <v>26</v>
      </c>
      <c r="D24" s="19">
        <f>SUM(D26:D46)</f>
        <v>217740.9</v>
      </c>
      <c r="E24" s="19">
        <f>SUM(E26:E46)</f>
        <v>83676.5</v>
      </c>
      <c r="F24" s="19">
        <f>SUM(F26:F46)</f>
        <v>36839.600000000006</v>
      </c>
    </row>
    <row r="25" spans="3:6" ht="15.75">
      <c r="C25" s="10" t="s">
        <v>27</v>
      </c>
      <c r="D25" s="20"/>
      <c r="E25" s="11"/>
      <c r="F25" s="11"/>
    </row>
    <row r="26" spans="2:6" ht="31.5">
      <c r="B26" s="10"/>
      <c r="C26" s="12" t="s">
        <v>512</v>
      </c>
      <c r="D26" s="55">
        <v>37929.9</v>
      </c>
      <c r="E26" s="20">
        <v>30728.6</v>
      </c>
      <c r="F26" s="11">
        <v>33085.8</v>
      </c>
    </row>
    <row r="27" spans="2:6" ht="31.5">
      <c r="B27" s="12"/>
      <c r="C27" s="12" t="s">
        <v>28</v>
      </c>
      <c r="D27" s="59">
        <v>2887.5</v>
      </c>
      <c r="E27" s="20">
        <v>3753.8</v>
      </c>
      <c r="F27" s="20">
        <v>3753.8</v>
      </c>
    </row>
    <row r="28" spans="2:6" ht="47.25">
      <c r="B28" s="12"/>
      <c r="C28" s="12" t="s">
        <v>513</v>
      </c>
      <c r="D28" s="58">
        <v>0</v>
      </c>
      <c r="E28" s="20">
        <v>12500</v>
      </c>
      <c r="F28" s="20">
        <v>0</v>
      </c>
    </row>
    <row r="29" spans="2:6" ht="78.75">
      <c r="B29" s="12"/>
      <c r="C29" s="12" t="s">
        <v>514</v>
      </c>
      <c r="D29" s="56">
        <v>0</v>
      </c>
      <c r="E29" s="20">
        <v>9391.4</v>
      </c>
      <c r="F29" s="20">
        <v>0</v>
      </c>
    </row>
    <row r="30" spans="2:6" ht="78.75">
      <c r="B30" s="12"/>
      <c r="C30" s="352" t="s">
        <v>515</v>
      </c>
      <c r="D30" s="54">
        <v>0</v>
      </c>
      <c r="E30" s="20">
        <v>5072</v>
      </c>
      <c r="F30" s="20">
        <v>0</v>
      </c>
    </row>
    <row r="31" spans="2:6" ht="32.25" customHeight="1">
      <c r="B31" s="12"/>
      <c r="C31" s="352" t="s">
        <v>30</v>
      </c>
      <c r="D31" s="57">
        <v>6687.6</v>
      </c>
      <c r="E31" s="20">
        <v>10273.8</v>
      </c>
      <c r="F31" s="20">
        <v>0</v>
      </c>
    </row>
    <row r="32" spans="2:6" ht="32.25" customHeight="1">
      <c r="B32" s="12"/>
      <c r="C32" s="352" t="s">
        <v>29</v>
      </c>
      <c r="D32" s="60">
        <v>8802.7</v>
      </c>
      <c r="E32" s="20">
        <v>11255.7</v>
      </c>
      <c r="F32" s="20">
        <v>0</v>
      </c>
    </row>
    <row r="33" spans="2:6" ht="32.25" customHeight="1">
      <c r="B33" s="12"/>
      <c r="C33" s="352" t="s">
        <v>31</v>
      </c>
      <c r="D33" s="64">
        <v>169.8</v>
      </c>
      <c r="E33" s="20">
        <v>116.2</v>
      </c>
      <c r="F33" s="20">
        <v>0</v>
      </c>
    </row>
    <row r="34" spans="2:6" ht="47.25">
      <c r="B34" s="12"/>
      <c r="C34" s="352" t="s">
        <v>516</v>
      </c>
      <c r="D34" s="20">
        <v>0</v>
      </c>
      <c r="E34" s="20">
        <v>500</v>
      </c>
      <c r="F34" s="20">
        <v>0</v>
      </c>
    </row>
    <row r="35" spans="2:6" ht="47.25">
      <c r="B35" s="12"/>
      <c r="C35" s="352" t="s">
        <v>517</v>
      </c>
      <c r="D35" s="20">
        <v>0</v>
      </c>
      <c r="E35" s="20">
        <v>85</v>
      </c>
      <c r="F35" s="20">
        <v>0</v>
      </c>
    </row>
    <row r="36" spans="2:6" ht="31.5">
      <c r="B36" s="12"/>
      <c r="C36" s="12" t="s">
        <v>523</v>
      </c>
      <c r="D36" s="20">
        <v>38000</v>
      </c>
      <c r="E36" s="20">
        <v>0</v>
      </c>
      <c r="F36" s="20">
        <v>0</v>
      </c>
    </row>
    <row r="37" spans="2:6" ht="15.75">
      <c r="B37" s="12"/>
      <c r="C37" s="12" t="s">
        <v>524</v>
      </c>
      <c r="D37" s="20">
        <v>26343.8</v>
      </c>
      <c r="E37" s="20">
        <v>0</v>
      </c>
      <c r="F37" s="20">
        <v>0</v>
      </c>
    </row>
    <row r="38" spans="2:6" ht="31.5">
      <c r="B38" s="12"/>
      <c r="C38" s="12" t="s">
        <v>525</v>
      </c>
      <c r="D38" s="20">
        <v>23990</v>
      </c>
      <c r="E38" s="20">
        <v>0</v>
      </c>
      <c r="F38" s="20">
        <v>0</v>
      </c>
    </row>
    <row r="39" spans="2:6" ht="31.5">
      <c r="B39" s="12"/>
      <c r="C39" s="12" t="s">
        <v>533</v>
      </c>
      <c r="D39" s="20">
        <v>13719.7</v>
      </c>
      <c r="E39" s="20">
        <v>0</v>
      </c>
      <c r="F39" s="20">
        <v>0</v>
      </c>
    </row>
    <row r="40" spans="2:6" ht="31.5">
      <c r="B40" s="12"/>
      <c r="C40" s="12" t="s">
        <v>526</v>
      </c>
      <c r="D40" s="20">
        <v>16000</v>
      </c>
      <c r="E40" s="20">
        <v>0</v>
      </c>
      <c r="F40" s="20">
        <v>0</v>
      </c>
    </row>
    <row r="41" spans="2:6" ht="31.5">
      <c r="B41" s="12"/>
      <c r="C41" s="12" t="s">
        <v>527</v>
      </c>
      <c r="D41" s="20">
        <v>25355.5</v>
      </c>
      <c r="E41" s="20">
        <v>0</v>
      </c>
      <c r="F41" s="20">
        <v>0</v>
      </c>
    </row>
    <row r="42" spans="2:6" ht="47.25">
      <c r="B42" s="12"/>
      <c r="C42" s="12" t="s">
        <v>528</v>
      </c>
      <c r="D42" s="20">
        <v>1852.3</v>
      </c>
      <c r="E42" s="20">
        <v>0</v>
      </c>
      <c r="F42" s="20">
        <v>0</v>
      </c>
    </row>
    <row r="43" spans="2:6" ht="47.25">
      <c r="B43" s="12"/>
      <c r="C43" s="12" t="s">
        <v>529</v>
      </c>
      <c r="D43" s="20">
        <v>2543.5</v>
      </c>
      <c r="E43" s="20">
        <v>0</v>
      </c>
      <c r="F43" s="20">
        <v>0</v>
      </c>
    </row>
    <row r="44" spans="2:6" ht="31.5">
      <c r="B44" s="12"/>
      <c r="C44" s="12" t="s">
        <v>530</v>
      </c>
      <c r="D44" s="20">
        <v>3000.1</v>
      </c>
      <c r="E44" s="20">
        <v>0</v>
      </c>
      <c r="F44" s="20">
        <v>0</v>
      </c>
    </row>
    <row r="45" spans="2:6" ht="47.25">
      <c r="B45" s="12"/>
      <c r="C45" s="12" t="s">
        <v>531</v>
      </c>
      <c r="D45" s="20">
        <v>7578.5</v>
      </c>
      <c r="E45" s="20">
        <v>0</v>
      </c>
      <c r="F45" s="20">
        <v>0</v>
      </c>
    </row>
    <row r="46" spans="2:6" ht="31.5">
      <c r="B46" s="12"/>
      <c r="C46" s="12" t="s">
        <v>532</v>
      </c>
      <c r="D46" s="20">
        <v>2880</v>
      </c>
      <c r="E46" s="20">
        <v>0</v>
      </c>
      <c r="F46" s="20">
        <v>0</v>
      </c>
    </row>
    <row r="47" spans="2:8" ht="31.5">
      <c r="B47" s="21" t="s">
        <v>32</v>
      </c>
      <c r="C47" s="21" t="s">
        <v>33</v>
      </c>
      <c r="D47" s="22">
        <f>SUM(D48:D51,D52)</f>
        <v>385658</v>
      </c>
      <c r="E47" s="22">
        <f>SUM(E48:E51,E52)</f>
        <v>428119.8</v>
      </c>
      <c r="F47" s="22">
        <f>SUM(F48:F51,F52)</f>
        <v>447126.9</v>
      </c>
      <c r="H47" s="23"/>
    </row>
    <row r="48" spans="2:8" ht="31.5">
      <c r="B48" s="21"/>
      <c r="C48" s="12" t="s">
        <v>35</v>
      </c>
      <c r="D48" s="11">
        <v>1556.6</v>
      </c>
      <c r="E48" s="20">
        <v>1886.3</v>
      </c>
      <c r="F48" s="20">
        <v>969.3</v>
      </c>
      <c r="H48" s="23"/>
    </row>
    <row r="49" spans="2:6" ht="78.75">
      <c r="B49" s="12" t="s">
        <v>34</v>
      </c>
      <c r="C49" s="12" t="s">
        <v>518</v>
      </c>
      <c r="D49" s="20">
        <v>0</v>
      </c>
      <c r="E49" s="20">
        <v>1414.6</v>
      </c>
      <c r="F49" s="353">
        <v>1414.6</v>
      </c>
    </row>
    <row r="50" spans="2:6" ht="63">
      <c r="B50" s="12"/>
      <c r="C50" s="354" t="s">
        <v>519</v>
      </c>
      <c r="D50" s="20">
        <v>0</v>
      </c>
      <c r="E50" s="20">
        <v>7681.8</v>
      </c>
      <c r="F50" s="20">
        <v>0</v>
      </c>
    </row>
    <row r="51" spans="2:6" ht="47.25">
      <c r="B51" s="12" t="s">
        <v>36</v>
      </c>
      <c r="C51" s="12" t="s">
        <v>37</v>
      </c>
      <c r="D51" s="11">
        <v>38.5</v>
      </c>
      <c r="E51" s="20">
        <v>0</v>
      </c>
      <c r="F51" s="20">
        <v>47.8</v>
      </c>
    </row>
    <row r="52" spans="2:6" ht="15.75">
      <c r="B52" s="12" t="s">
        <v>39</v>
      </c>
      <c r="C52" s="12" t="s">
        <v>38</v>
      </c>
      <c r="D52" s="20">
        <f>SUM(D54:D60)</f>
        <v>384062.9</v>
      </c>
      <c r="E52" s="20">
        <f>SUM(E54:E60)</f>
        <v>417137.1</v>
      </c>
      <c r="F52" s="20">
        <f>SUM(F54:F60)</f>
        <v>444695.2</v>
      </c>
    </row>
    <row r="53" spans="3:9" ht="15.75">
      <c r="C53" s="12" t="s">
        <v>27</v>
      </c>
      <c r="D53" s="20"/>
      <c r="E53" s="20"/>
      <c r="F53" s="20"/>
      <c r="H53" s="357"/>
      <c r="I53" s="357"/>
    </row>
    <row r="54" spans="2:9" ht="15.75">
      <c r="B54" s="12"/>
      <c r="C54" s="12" t="s">
        <v>40</v>
      </c>
      <c r="D54" s="353">
        <v>193.4</v>
      </c>
      <c r="E54" s="20">
        <v>189.4</v>
      </c>
      <c r="F54" s="20">
        <v>210.1</v>
      </c>
      <c r="H54" s="358"/>
      <c r="I54" s="357"/>
    </row>
    <row r="55" spans="2:9" ht="15.75">
      <c r="B55" s="12"/>
      <c r="C55" s="12" t="s">
        <v>42</v>
      </c>
      <c r="D55" s="20">
        <v>104.3</v>
      </c>
      <c r="E55" s="20">
        <v>108.2</v>
      </c>
      <c r="F55" s="20">
        <v>111.1</v>
      </c>
      <c r="H55" s="358"/>
      <c r="I55" s="357"/>
    </row>
    <row r="56" spans="2:9" ht="18.75" customHeight="1">
      <c r="B56" s="12"/>
      <c r="C56" s="12" t="s">
        <v>41</v>
      </c>
      <c r="D56" s="20">
        <v>1283.3</v>
      </c>
      <c r="E56" s="20">
        <v>1482.3</v>
      </c>
      <c r="F56" s="20">
        <v>1544.1</v>
      </c>
      <c r="H56" s="358"/>
      <c r="I56" s="357"/>
    </row>
    <row r="57" spans="2:9" ht="47.25">
      <c r="B57" s="12"/>
      <c r="C57" s="12" t="s">
        <v>520</v>
      </c>
      <c r="D57" s="20">
        <v>5129.9</v>
      </c>
      <c r="E57" s="20">
        <v>4320.6</v>
      </c>
      <c r="F57" s="20">
        <v>5314.8</v>
      </c>
      <c r="H57" s="358"/>
      <c r="I57" s="357"/>
    </row>
    <row r="58" spans="2:9" ht="31.5">
      <c r="B58" s="12"/>
      <c r="C58" s="12" t="s">
        <v>521</v>
      </c>
      <c r="D58" s="20">
        <v>1209.8</v>
      </c>
      <c r="E58" s="20">
        <v>1728.6</v>
      </c>
      <c r="F58" s="20">
        <v>1293.7</v>
      </c>
      <c r="H58" s="358"/>
      <c r="I58" s="357"/>
    </row>
    <row r="59" spans="2:9" ht="31.5">
      <c r="B59" s="12"/>
      <c r="C59" s="12" t="s">
        <v>534</v>
      </c>
      <c r="D59" s="20">
        <v>0</v>
      </c>
      <c r="E59" s="20">
        <v>0</v>
      </c>
      <c r="F59" s="20">
        <v>938.5</v>
      </c>
      <c r="H59" s="358"/>
      <c r="I59" s="357"/>
    </row>
    <row r="60" spans="2:9" ht="126">
      <c r="B60" s="12"/>
      <c r="C60" s="12" t="s">
        <v>43</v>
      </c>
      <c r="D60" s="20">
        <v>376142.2</v>
      </c>
      <c r="E60" s="20">
        <v>409308</v>
      </c>
      <c r="F60" s="20">
        <v>435282.9</v>
      </c>
      <c r="H60" s="358"/>
      <c r="I60" s="357"/>
    </row>
    <row r="61" spans="2:9" ht="15.75">
      <c r="B61" s="21" t="s">
        <v>44</v>
      </c>
      <c r="C61" s="21" t="s">
        <v>45</v>
      </c>
      <c r="D61" s="24">
        <f>SUM(D62)</f>
        <v>1310.7</v>
      </c>
      <c r="E61" s="24">
        <f>SUM(E62)</f>
        <v>0</v>
      </c>
      <c r="F61" s="24">
        <f>SUM(F62)</f>
        <v>0</v>
      </c>
      <c r="H61" s="358"/>
      <c r="I61" s="357"/>
    </row>
    <row r="62" spans="2:9" ht="15.75">
      <c r="B62" s="12" t="s">
        <v>46</v>
      </c>
      <c r="C62" s="12" t="s">
        <v>184</v>
      </c>
      <c r="D62" s="20">
        <f>D64</f>
        <v>1310.7</v>
      </c>
      <c r="E62" s="20">
        <f>E64</f>
        <v>0</v>
      </c>
      <c r="F62" s="20">
        <f>F64</f>
        <v>0</v>
      </c>
      <c r="H62" s="358"/>
      <c r="I62" s="357"/>
    </row>
    <row r="63" spans="3:9" ht="15.75">
      <c r="C63" s="12" t="s">
        <v>27</v>
      </c>
      <c r="D63" s="20"/>
      <c r="E63" s="20"/>
      <c r="F63" s="20"/>
      <c r="H63" s="357"/>
      <c r="I63" s="357"/>
    </row>
    <row r="64" spans="2:6" ht="51" customHeight="1">
      <c r="B64" s="12"/>
      <c r="C64" s="12" t="s">
        <v>47</v>
      </c>
      <c r="D64" s="20">
        <v>1310.7</v>
      </c>
      <c r="E64" s="20">
        <v>0</v>
      </c>
      <c r="F64" s="20">
        <v>0</v>
      </c>
    </row>
    <row r="65" spans="2:6" ht="31.5">
      <c r="B65" s="25" t="s">
        <v>186</v>
      </c>
      <c r="C65" s="355" t="s">
        <v>522</v>
      </c>
      <c r="D65" s="22">
        <v>0</v>
      </c>
      <c r="E65" s="22">
        <v>74.2</v>
      </c>
      <c r="F65" s="22">
        <v>0</v>
      </c>
    </row>
    <row r="66" spans="1:9" ht="31.5">
      <c r="A66" s="61"/>
      <c r="B66" s="25" t="s">
        <v>48</v>
      </c>
      <c r="C66" s="356" t="s">
        <v>205</v>
      </c>
      <c r="D66" s="9">
        <v>-3368.5</v>
      </c>
      <c r="E66" s="9">
        <v>-9404.4</v>
      </c>
      <c r="F66" s="9">
        <v>0</v>
      </c>
      <c r="I66" s="1"/>
    </row>
    <row r="67" spans="2:6" ht="15.75">
      <c r="B67" s="21" t="s">
        <v>49</v>
      </c>
      <c r="C67" s="21"/>
      <c r="D67" s="24">
        <f>SUM(D4,D18)</f>
        <v>1259347.7999999998</v>
      </c>
      <c r="E67" s="24">
        <f>SUM(E4,E18)</f>
        <v>1294850.8</v>
      </c>
      <c r="F67" s="24">
        <f>SUM(F4,F18)</f>
        <v>1089558.3</v>
      </c>
    </row>
    <row r="69" spans="1:6" ht="39" customHeight="1">
      <c r="A69" s="61"/>
      <c r="B69" s="78"/>
      <c r="C69" s="374" t="s">
        <v>192</v>
      </c>
      <c r="D69" s="374"/>
      <c r="E69" s="374"/>
      <c r="F69" s="374"/>
    </row>
    <row r="70" spans="1:6" ht="15.75">
      <c r="A70" s="61"/>
      <c r="B70" s="61"/>
      <c r="C70" s="61"/>
      <c r="D70" s="61"/>
      <c r="E70" s="61"/>
      <c r="F70" s="77" t="s">
        <v>50</v>
      </c>
    </row>
    <row r="71" spans="1:6" ht="47.25">
      <c r="A71" s="61"/>
      <c r="B71" s="61"/>
      <c r="C71" s="85" t="s">
        <v>191</v>
      </c>
      <c r="D71" s="82" t="s">
        <v>535</v>
      </c>
      <c r="E71" s="82" t="s">
        <v>509</v>
      </c>
      <c r="F71" s="83" t="s">
        <v>510</v>
      </c>
    </row>
    <row r="72" spans="1:6" ht="15.75">
      <c r="A72" s="76" t="s">
        <v>54</v>
      </c>
      <c r="B72" s="76" t="s">
        <v>55</v>
      </c>
      <c r="C72" s="28" t="s">
        <v>53</v>
      </c>
      <c r="D72" s="86">
        <f>SUM(D73:D80)</f>
        <v>145441.80000000002</v>
      </c>
      <c r="E72" s="86">
        <f>SUM(E73:E80)</f>
        <v>151595.1</v>
      </c>
      <c r="F72" s="86">
        <f>SUM(F73:F80)</f>
        <v>155697.2</v>
      </c>
    </row>
    <row r="73" spans="1:6" ht="31.5">
      <c r="A73" s="75" t="s">
        <v>54</v>
      </c>
      <c r="B73" s="75" t="s">
        <v>57</v>
      </c>
      <c r="C73" s="62" t="s">
        <v>56</v>
      </c>
      <c r="D73" s="87">
        <v>5111.7</v>
      </c>
      <c r="E73" s="87">
        <v>4013.8</v>
      </c>
      <c r="F73" s="87">
        <v>4110</v>
      </c>
    </row>
    <row r="74" spans="1:6" ht="47.25">
      <c r="A74" s="75" t="s">
        <v>54</v>
      </c>
      <c r="B74" s="75" t="s">
        <v>71</v>
      </c>
      <c r="C74" s="62" t="s">
        <v>134</v>
      </c>
      <c r="D74" s="87">
        <v>3061.1</v>
      </c>
      <c r="E74" s="87">
        <v>0</v>
      </c>
      <c r="F74" s="87">
        <v>1320.7</v>
      </c>
    </row>
    <row r="75" spans="1:6" ht="47.25">
      <c r="A75" s="75" t="s">
        <v>54</v>
      </c>
      <c r="B75" s="75" t="s">
        <v>61</v>
      </c>
      <c r="C75" s="73" t="s">
        <v>60</v>
      </c>
      <c r="D75" s="87">
        <v>83999.5</v>
      </c>
      <c r="E75" s="87">
        <v>91172.2</v>
      </c>
      <c r="F75" s="87">
        <v>94062.6</v>
      </c>
    </row>
    <row r="76" spans="1:6" ht="15.75">
      <c r="A76" s="75" t="s">
        <v>54</v>
      </c>
      <c r="B76" s="75" t="s">
        <v>64</v>
      </c>
      <c r="C76" s="66" t="s">
        <v>63</v>
      </c>
      <c r="D76" s="87">
        <v>38.5</v>
      </c>
      <c r="E76" s="87">
        <v>0</v>
      </c>
      <c r="F76" s="87">
        <v>47.8</v>
      </c>
    </row>
    <row r="77" spans="1:6" ht="31.5">
      <c r="A77" s="75" t="s">
        <v>54</v>
      </c>
      <c r="B77" s="75" t="s">
        <v>104</v>
      </c>
      <c r="C77" s="62" t="s">
        <v>103</v>
      </c>
      <c r="D77" s="87">
        <v>29935.5</v>
      </c>
      <c r="E77" s="87">
        <v>30486.6</v>
      </c>
      <c r="F77" s="87">
        <v>32711.5</v>
      </c>
    </row>
    <row r="78" spans="1:6" ht="15.75">
      <c r="A78" s="75" t="s">
        <v>54</v>
      </c>
      <c r="B78" s="75" t="s">
        <v>116</v>
      </c>
      <c r="C78" s="62" t="s">
        <v>137</v>
      </c>
      <c r="D78" s="87">
        <v>4624.6</v>
      </c>
      <c r="E78" s="87">
        <v>2846.4</v>
      </c>
      <c r="F78" s="87">
        <v>4608.9</v>
      </c>
    </row>
    <row r="79" spans="1:6" ht="15.75">
      <c r="A79" s="75" t="s">
        <v>54</v>
      </c>
      <c r="B79" s="75" t="s">
        <v>106</v>
      </c>
      <c r="C79" s="62" t="s">
        <v>105</v>
      </c>
      <c r="D79" s="87">
        <v>0</v>
      </c>
      <c r="E79" s="87">
        <v>6353.9</v>
      </c>
      <c r="F79" s="87">
        <v>12835.7</v>
      </c>
    </row>
    <row r="80" spans="1:6" ht="15.75">
      <c r="A80" s="75" t="s">
        <v>54</v>
      </c>
      <c r="B80" s="75" t="s">
        <v>68</v>
      </c>
      <c r="C80" s="73" t="s">
        <v>67</v>
      </c>
      <c r="D80" s="87">
        <v>18670.9</v>
      </c>
      <c r="E80" s="87">
        <v>16722.2</v>
      </c>
      <c r="F80" s="87">
        <v>6000</v>
      </c>
    </row>
    <row r="81" spans="1:6" ht="15.75">
      <c r="A81" s="76" t="s">
        <v>71</v>
      </c>
      <c r="B81" s="76" t="s">
        <v>55</v>
      </c>
      <c r="C81" s="67" t="s">
        <v>73</v>
      </c>
      <c r="D81" s="86">
        <f>SUM(D82:D85)</f>
        <v>3178.1</v>
      </c>
      <c r="E81" s="86">
        <f>SUM(E82:E85)</f>
        <v>14664.9</v>
      </c>
      <c r="F81" s="86">
        <f>SUM(F82:F85)</f>
        <v>6614.4</v>
      </c>
    </row>
    <row r="82" spans="1:6" ht="15.75">
      <c r="A82" s="75" t="s">
        <v>71</v>
      </c>
      <c r="B82" s="75" t="s">
        <v>61</v>
      </c>
      <c r="C82" s="66" t="s">
        <v>74</v>
      </c>
      <c r="D82" s="87">
        <v>1678.1</v>
      </c>
      <c r="E82" s="87">
        <v>1956.3</v>
      </c>
      <c r="F82" s="87">
        <v>969.3</v>
      </c>
    </row>
    <row r="83" spans="1:6" ht="31.5">
      <c r="A83" s="75" t="s">
        <v>71</v>
      </c>
      <c r="B83" s="75" t="s">
        <v>88</v>
      </c>
      <c r="C83" s="71" t="s">
        <v>188</v>
      </c>
      <c r="D83" s="87">
        <v>0</v>
      </c>
      <c r="E83" s="87">
        <v>10803.6</v>
      </c>
      <c r="F83" s="87">
        <v>3740.1</v>
      </c>
    </row>
    <row r="84" spans="1:6" ht="15.75">
      <c r="A84" s="75" t="s">
        <v>71</v>
      </c>
      <c r="B84" s="75" t="s">
        <v>76</v>
      </c>
      <c r="C84" s="66" t="s">
        <v>75</v>
      </c>
      <c r="D84" s="87">
        <v>1500</v>
      </c>
      <c r="E84" s="87">
        <v>1900</v>
      </c>
      <c r="F84" s="87">
        <v>1900</v>
      </c>
    </row>
    <row r="85" spans="1:6" ht="31.5">
      <c r="A85" s="75" t="s">
        <v>71</v>
      </c>
      <c r="B85" s="75" t="s">
        <v>187</v>
      </c>
      <c r="C85" s="66" t="s">
        <v>78</v>
      </c>
      <c r="D85" s="87">
        <v>0</v>
      </c>
      <c r="E85" s="87">
        <v>5</v>
      </c>
      <c r="F85" s="87">
        <v>5</v>
      </c>
    </row>
    <row r="86" spans="1:6" ht="15.75">
      <c r="A86" s="76" t="s">
        <v>61</v>
      </c>
      <c r="B86" s="76" t="s">
        <v>55</v>
      </c>
      <c r="C86" s="28" t="s">
        <v>80</v>
      </c>
      <c r="D86" s="86">
        <f>SUM(D87:D90)</f>
        <v>101167.2</v>
      </c>
      <c r="E86" s="86">
        <f>SUM(E87:E90)</f>
        <v>112457.6</v>
      </c>
      <c r="F86" s="86">
        <f>SUM(F87:F90)</f>
        <v>64632.100000000006</v>
      </c>
    </row>
    <row r="87" spans="1:6" ht="15.75">
      <c r="A87" s="75" t="s">
        <v>61</v>
      </c>
      <c r="B87" s="75" t="s">
        <v>64</v>
      </c>
      <c r="C87" s="66" t="s">
        <v>81</v>
      </c>
      <c r="D87" s="87">
        <v>0</v>
      </c>
      <c r="E87" s="87">
        <v>0</v>
      </c>
      <c r="F87" s="87">
        <v>938.5</v>
      </c>
    </row>
    <row r="88" spans="1:6" ht="15.75">
      <c r="A88" s="75" t="s">
        <v>61</v>
      </c>
      <c r="B88" s="75" t="s">
        <v>84</v>
      </c>
      <c r="C88" s="66" t="s">
        <v>83</v>
      </c>
      <c r="D88" s="87">
        <v>8345</v>
      </c>
      <c r="E88" s="87">
        <v>9471</v>
      </c>
      <c r="F88" s="87">
        <v>8645.1</v>
      </c>
    </row>
    <row r="89" spans="1:6" ht="15.75">
      <c r="A89" s="75" t="s">
        <v>61</v>
      </c>
      <c r="B89" s="75" t="s">
        <v>88</v>
      </c>
      <c r="C89" s="73" t="s">
        <v>87</v>
      </c>
      <c r="D89" s="87">
        <v>36521.2</v>
      </c>
      <c r="E89" s="87">
        <v>48311.3</v>
      </c>
      <c r="F89" s="87">
        <v>20962.7</v>
      </c>
    </row>
    <row r="90" spans="1:6" ht="15.75">
      <c r="A90" s="75" t="s">
        <v>61</v>
      </c>
      <c r="B90" s="75" t="s">
        <v>91</v>
      </c>
      <c r="C90" s="66" t="s">
        <v>90</v>
      </c>
      <c r="D90" s="87">
        <v>56301</v>
      </c>
      <c r="E90" s="87">
        <v>54675.3</v>
      </c>
      <c r="F90" s="87">
        <v>34085.8</v>
      </c>
    </row>
    <row r="91" spans="1:6" ht="15.75">
      <c r="A91" s="76" t="s">
        <v>64</v>
      </c>
      <c r="B91" s="76" t="s">
        <v>55</v>
      </c>
      <c r="C91" s="28" t="s">
        <v>93</v>
      </c>
      <c r="D91" s="86">
        <f>SUM(D92:D95)</f>
        <v>254631.2</v>
      </c>
      <c r="E91" s="86">
        <f>SUM(E92:E95)</f>
        <v>294207.00000000006</v>
      </c>
      <c r="F91" s="86">
        <f>SUM(F92:F95)</f>
        <v>115335.7</v>
      </c>
    </row>
    <row r="92" spans="1:6" ht="15.75">
      <c r="A92" s="75" t="s">
        <v>64</v>
      </c>
      <c r="B92" s="75" t="s">
        <v>54</v>
      </c>
      <c r="C92" s="62" t="s">
        <v>94</v>
      </c>
      <c r="D92" s="87">
        <v>49141.1</v>
      </c>
      <c r="E92" s="87">
        <v>186279.6</v>
      </c>
      <c r="F92" s="87">
        <v>58377</v>
      </c>
    </row>
    <row r="93" spans="1:6" ht="15.75">
      <c r="A93" s="75" t="s">
        <v>64</v>
      </c>
      <c r="B93" s="75" t="s">
        <v>57</v>
      </c>
      <c r="C93" s="62" t="s">
        <v>95</v>
      </c>
      <c r="D93" s="87">
        <v>137681.2</v>
      </c>
      <c r="E93" s="87">
        <v>58723.8</v>
      </c>
      <c r="F93" s="87">
        <v>40188</v>
      </c>
    </row>
    <row r="94" spans="1:6" ht="15.75">
      <c r="A94" s="75" t="s">
        <v>64</v>
      </c>
      <c r="B94" s="75" t="s">
        <v>71</v>
      </c>
      <c r="C94" s="62" t="s">
        <v>99</v>
      </c>
      <c r="D94" s="87">
        <v>19924.4</v>
      </c>
      <c r="E94" s="87">
        <v>46292.7</v>
      </c>
      <c r="F94" s="87">
        <v>14124.4</v>
      </c>
    </row>
    <row r="95" spans="1:6" ht="15.75">
      <c r="A95" s="75" t="s">
        <v>64</v>
      </c>
      <c r="B95" s="75" t="s">
        <v>64</v>
      </c>
      <c r="C95" s="62" t="s">
        <v>100</v>
      </c>
      <c r="D95" s="87">
        <v>47884.5</v>
      </c>
      <c r="E95" s="87">
        <v>2910.9</v>
      </c>
      <c r="F95" s="87">
        <v>2646.3</v>
      </c>
    </row>
    <row r="96" spans="1:6" ht="15.75">
      <c r="A96" s="76" t="s">
        <v>116</v>
      </c>
      <c r="B96" s="76" t="s">
        <v>55</v>
      </c>
      <c r="C96" s="28" t="s">
        <v>115</v>
      </c>
      <c r="D96" s="86">
        <f>SUM(D97:D101)</f>
        <v>570157.3</v>
      </c>
      <c r="E96" s="86">
        <f>SUM(E97:E101)</f>
        <v>591963.2</v>
      </c>
      <c r="F96" s="86">
        <f>SUM(F97:F101)</f>
        <v>599950.8</v>
      </c>
    </row>
    <row r="97" spans="1:6" ht="15.75">
      <c r="A97" s="75" t="s">
        <v>116</v>
      </c>
      <c r="B97" s="75" t="s">
        <v>54</v>
      </c>
      <c r="C97" s="62" t="s">
        <v>117</v>
      </c>
      <c r="D97" s="87">
        <v>59523.6</v>
      </c>
      <c r="E97" s="87">
        <v>62006.6</v>
      </c>
      <c r="F97" s="87">
        <v>64690</v>
      </c>
    </row>
    <row r="98" spans="1:6" ht="15.75">
      <c r="A98" s="75" t="s">
        <v>116</v>
      </c>
      <c r="B98" s="75" t="s">
        <v>57</v>
      </c>
      <c r="C98" s="62" t="s">
        <v>119</v>
      </c>
      <c r="D98" s="87">
        <v>497221.3</v>
      </c>
      <c r="E98" s="87">
        <v>437649.9</v>
      </c>
      <c r="F98" s="87">
        <v>441378.9</v>
      </c>
    </row>
    <row r="99" spans="1:6" ht="15.75">
      <c r="A99" s="75" t="s">
        <v>116</v>
      </c>
      <c r="B99" s="75" t="s">
        <v>71</v>
      </c>
      <c r="C99" s="62" t="s">
        <v>189</v>
      </c>
      <c r="D99" s="87">
        <v>0</v>
      </c>
      <c r="E99" s="87">
        <v>73854.1</v>
      </c>
      <c r="F99" s="87">
        <v>77958.9</v>
      </c>
    </row>
    <row r="100" spans="1:6" ht="15.75">
      <c r="A100" s="75" t="s">
        <v>116</v>
      </c>
      <c r="B100" s="75" t="s">
        <v>116</v>
      </c>
      <c r="C100" s="62" t="s">
        <v>120</v>
      </c>
      <c r="D100" s="87">
        <v>6376.5</v>
      </c>
      <c r="E100" s="87">
        <v>11591.2</v>
      </c>
      <c r="F100" s="87">
        <v>10208.2</v>
      </c>
    </row>
    <row r="101" spans="1:6" ht="15.75">
      <c r="A101" s="75" t="s">
        <v>116</v>
      </c>
      <c r="B101" s="75" t="s">
        <v>88</v>
      </c>
      <c r="C101" s="62" t="s">
        <v>121</v>
      </c>
      <c r="D101" s="87">
        <v>7035.9</v>
      </c>
      <c r="E101" s="87">
        <v>6861.4</v>
      </c>
      <c r="F101" s="87">
        <v>5714.8</v>
      </c>
    </row>
    <row r="102" spans="1:6" ht="15.75">
      <c r="A102" s="76" t="s">
        <v>84</v>
      </c>
      <c r="B102" s="76" t="s">
        <v>55</v>
      </c>
      <c r="C102" s="28" t="s">
        <v>122</v>
      </c>
      <c r="D102" s="86">
        <f>SUM(D103)</f>
        <v>92833</v>
      </c>
      <c r="E102" s="86">
        <f>SUM(E103)</f>
        <v>98934.2</v>
      </c>
      <c r="F102" s="86">
        <f>SUM(F103)</f>
        <v>107337.5</v>
      </c>
    </row>
    <row r="103" spans="1:6" ht="15.75">
      <c r="A103" s="75" t="s">
        <v>84</v>
      </c>
      <c r="B103" s="75" t="s">
        <v>54</v>
      </c>
      <c r="C103" s="62" t="s">
        <v>123</v>
      </c>
      <c r="D103" s="87">
        <v>92833</v>
      </c>
      <c r="E103" s="87">
        <v>98934.2</v>
      </c>
      <c r="F103" s="87">
        <v>107337.5</v>
      </c>
    </row>
    <row r="104" spans="1:6" ht="15.75">
      <c r="A104" s="76" t="s">
        <v>76</v>
      </c>
      <c r="B104" s="76" t="s">
        <v>55</v>
      </c>
      <c r="C104" s="33" t="s">
        <v>101</v>
      </c>
      <c r="D104" s="86">
        <f>SUM(D105:D108)</f>
        <v>51374.9</v>
      </c>
      <c r="E104" s="86">
        <f>SUM(E105:E108)</f>
        <v>66111.6</v>
      </c>
      <c r="F104" s="86">
        <f>SUM(F105:F108)</f>
        <v>52936.8</v>
      </c>
    </row>
    <row r="105" spans="1:6" ht="15.75">
      <c r="A105" s="75" t="s">
        <v>76</v>
      </c>
      <c r="B105" s="75" t="s">
        <v>54</v>
      </c>
      <c r="C105" s="62" t="s">
        <v>113</v>
      </c>
      <c r="D105" s="87">
        <v>7869.2</v>
      </c>
      <c r="E105" s="87">
        <v>9416</v>
      </c>
      <c r="F105" s="87">
        <v>9398.7</v>
      </c>
    </row>
    <row r="106" spans="1:6" ht="15.75">
      <c r="A106" s="75" t="s">
        <v>76</v>
      </c>
      <c r="B106" s="75" t="s">
        <v>71</v>
      </c>
      <c r="C106" s="72" t="s">
        <v>102</v>
      </c>
      <c r="D106" s="87">
        <v>1558.5</v>
      </c>
      <c r="E106" s="87">
        <v>1400</v>
      </c>
      <c r="F106" s="87">
        <v>0</v>
      </c>
    </row>
    <row r="107" spans="1:6" ht="15.75">
      <c r="A107" s="75" t="s">
        <v>76</v>
      </c>
      <c r="B107" s="75" t="s">
        <v>61</v>
      </c>
      <c r="C107" s="66" t="s">
        <v>124</v>
      </c>
      <c r="D107" s="87">
        <v>1225.9</v>
      </c>
      <c r="E107" s="87">
        <v>9096.4</v>
      </c>
      <c r="F107" s="87">
        <v>1414.6</v>
      </c>
    </row>
    <row r="108" spans="1:6" ht="15.75">
      <c r="A108" s="75" t="s">
        <v>76</v>
      </c>
      <c r="B108" s="75" t="s">
        <v>104</v>
      </c>
      <c r="C108" s="62" t="s">
        <v>125</v>
      </c>
      <c r="D108" s="87">
        <v>40721.3</v>
      </c>
      <c r="E108" s="87">
        <v>46199.2</v>
      </c>
      <c r="F108" s="87">
        <v>42123.5</v>
      </c>
    </row>
    <row r="109" spans="1:6" ht="15.75">
      <c r="A109" s="76" t="s">
        <v>106</v>
      </c>
      <c r="B109" s="76" t="s">
        <v>55</v>
      </c>
      <c r="C109" s="28" t="s">
        <v>127</v>
      </c>
      <c r="D109" s="86">
        <f>SUM(D110:D111)</f>
        <v>18151.5</v>
      </c>
      <c r="E109" s="86">
        <f>SUM(E110:E111)</f>
        <v>22807.600000000002</v>
      </c>
      <c r="F109" s="86">
        <f>SUM(F110:F111)</f>
        <v>23053.8</v>
      </c>
    </row>
    <row r="110" spans="1:6" ht="15.75">
      <c r="A110" s="75" t="s">
        <v>106</v>
      </c>
      <c r="B110" s="75" t="s">
        <v>54</v>
      </c>
      <c r="C110" s="62" t="s">
        <v>128</v>
      </c>
      <c r="D110" s="87">
        <v>16300.7</v>
      </c>
      <c r="E110" s="87">
        <v>20811.4</v>
      </c>
      <c r="F110" s="87">
        <v>21896.2</v>
      </c>
    </row>
    <row r="111" spans="1:6" ht="15.75">
      <c r="A111" s="75" t="s">
        <v>106</v>
      </c>
      <c r="B111" s="75" t="s">
        <v>57</v>
      </c>
      <c r="C111" s="62" t="s">
        <v>132</v>
      </c>
      <c r="D111" s="87">
        <v>1850.8</v>
      </c>
      <c r="E111" s="87">
        <v>1996.2</v>
      </c>
      <c r="F111" s="87">
        <v>1157.6</v>
      </c>
    </row>
    <row r="112" spans="1:6" ht="15.75">
      <c r="A112" s="75"/>
      <c r="B112" s="75"/>
      <c r="C112" s="32" t="s">
        <v>190</v>
      </c>
      <c r="D112" s="92">
        <f>D72+D81+D86+D91+D96+D102+D104+D109</f>
        <v>1236935</v>
      </c>
      <c r="E112" s="92">
        <f>E72+E81+E86+E91+E96+E102+E104+E109</f>
        <v>1352741.2000000002</v>
      </c>
      <c r="F112" s="92">
        <f>F72+F81+F86+F91+F96+F102+F104+F109</f>
        <v>1125558.3000000003</v>
      </c>
    </row>
    <row r="113" ht="15.75">
      <c r="D113" s="91"/>
    </row>
    <row r="114" spans="3:6" ht="18.75" customHeight="1">
      <c r="C114" s="375" t="s">
        <v>206</v>
      </c>
      <c r="D114" s="375"/>
      <c r="E114" s="375"/>
      <c r="F114" s="375"/>
    </row>
    <row r="115" ht="15.75">
      <c r="F115" s="77" t="s">
        <v>50</v>
      </c>
    </row>
    <row r="116" spans="3:6" ht="47.25">
      <c r="C116" s="85" t="s">
        <v>191</v>
      </c>
      <c r="D116" s="82" t="s">
        <v>535</v>
      </c>
      <c r="E116" s="82" t="s">
        <v>509</v>
      </c>
      <c r="F116" s="83" t="s">
        <v>510</v>
      </c>
    </row>
    <row r="117" spans="2:6" ht="31.5">
      <c r="B117" s="63" t="s">
        <v>214</v>
      </c>
      <c r="C117" s="63" t="s">
        <v>207</v>
      </c>
      <c r="D117" s="70">
        <f>SUM(D118,D121)</f>
        <v>-22412.800000000047</v>
      </c>
      <c r="E117" s="70">
        <f>SUM(E118,E121)</f>
        <v>57964.59999999986</v>
      </c>
      <c r="F117" s="70">
        <f>SUM(F118,F121)</f>
        <v>36000</v>
      </c>
    </row>
    <row r="118" spans="2:6" ht="31.5">
      <c r="B118" s="63" t="s">
        <v>215</v>
      </c>
      <c r="C118" s="63" t="s">
        <v>208</v>
      </c>
      <c r="D118" s="70">
        <f>SUM(D119,D120)</f>
        <v>-25600</v>
      </c>
      <c r="E118" s="70">
        <f>SUM(E119,E120)</f>
        <v>22000</v>
      </c>
      <c r="F118" s="70">
        <f>SUM(F119,F120)</f>
        <v>36000</v>
      </c>
    </row>
    <row r="119" spans="2:6" ht="31.5">
      <c r="B119" s="90" t="s">
        <v>216</v>
      </c>
      <c r="C119" s="90" t="s">
        <v>209</v>
      </c>
      <c r="D119" s="65">
        <v>0</v>
      </c>
      <c r="E119" s="65">
        <v>36000</v>
      </c>
      <c r="F119" s="65">
        <v>36000</v>
      </c>
    </row>
    <row r="120" spans="2:6" ht="47.25">
      <c r="B120" s="90" t="s">
        <v>217</v>
      </c>
      <c r="C120" s="90" t="s">
        <v>210</v>
      </c>
      <c r="D120" s="65">
        <v>-25600</v>
      </c>
      <c r="E120" s="65">
        <v>-14000</v>
      </c>
      <c r="F120" s="65">
        <v>0</v>
      </c>
    </row>
    <row r="121" spans="2:6" ht="19.5" customHeight="1">
      <c r="B121" s="63" t="s">
        <v>218</v>
      </c>
      <c r="C121" s="63" t="s">
        <v>211</v>
      </c>
      <c r="D121" s="68">
        <f>SUM(D122,D123)</f>
        <v>3187.1999999999534</v>
      </c>
      <c r="E121" s="68">
        <f>SUM(E122,E123)</f>
        <v>35964.59999999986</v>
      </c>
      <c r="F121" s="68">
        <f>SUM(F122,F123)</f>
        <v>0</v>
      </c>
    </row>
    <row r="122" spans="2:6" ht="19.5" customHeight="1">
      <c r="B122" s="63" t="s">
        <v>219</v>
      </c>
      <c r="C122" s="13" t="s">
        <v>212</v>
      </c>
      <c r="D122" s="69">
        <v>-1277749.6</v>
      </c>
      <c r="E122" s="69">
        <v>-1330776.6</v>
      </c>
      <c r="F122" s="69">
        <v>-1125558.3</v>
      </c>
    </row>
    <row r="123" spans="2:6" ht="20.25" customHeight="1">
      <c r="B123" s="63" t="s">
        <v>220</v>
      </c>
      <c r="C123" s="13" t="s">
        <v>213</v>
      </c>
      <c r="D123" s="74">
        <v>1280936.8</v>
      </c>
      <c r="E123" s="74">
        <v>1366741.2</v>
      </c>
      <c r="F123" s="74">
        <v>1125558.3</v>
      </c>
    </row>
    <row r="125" ht="15.75">
      <c r="C125" s="84"/>
    </row>
  </sheetData>
  <sheetProtection/>
  <mergeCells count="3">
    <mergeCell ref="C1:F1"/>
    <mergeCell ref="C69:F69"/>
    <mergeCell ref="C114:F114"/>
  </mergeCells>
  <printOptions/>
  <pageMargins left="0.7874015748031497" right="0.31496062992125984" top="0.39" bottom="0.39" header="0.31496062992125984" footer="0.31496062992125984"/>
  <pageSetup fitToHeight="5" fitToWidth="1"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3"/>
  <sheetViews>
    <sheetView showZeros="0" tabSelected="1" zoomScalePageLayoutView="0" workbookViewId="0" topLeftCell="A7">
      <selection activeCell="F21" sqref="F21"/>
    </sheetView>
  </sheetViews>
  <sheetFormatPr defaultColWidth="4.421875" defaultRowHeight="15"/>
  <cols>
    <col min="1" max="1" width="90.00390625" style="0" customWidth="1"/>
    <col min="2" max="2" width="7.140625" style="38" hidden="1" customWidth="1"/>
    <col min="3" max="3" width="14.7109375" style="26" customWidth="1"/>
    <col min="4" max="4" width="14.421875" style="26" customWidth="1"/>
    <col min="5" max="5" width="15.8515625" style="26" customWidth="1"/>
    <col min="6" max="6" width="17.28125" style="26" customWidth="1"/>
    <col min="7" max="7" width="10.8515625" style="0" bestFit="1" customWidth="1"/>
    <col min="8" max="253" width="9.140625" style="0" customWidth="1"/>
    <col min="254" max="254" width="90.00390625" style="0" customWidth="1"/>
    <col min="255" max="255" width="16.140625" style="0" customWidth="1"/>
  </cols>
  <sheetData>
    <row r="1" spans="1:6" ht="54.75" customHeight="1">
      <c r="A1" s="376" t="s">
        <v>619</v>
      </c>
      <c r="B1" s="376"/>
      <c r="C1" s="376"/>
      <c r="D1" s="376"/>
      <c r="E1" s="376"/>
      <c r="F1" s="376"/>
    </row>
    <row r="2" ht="15">
      <c r="F2" s="27" t="s">
        <v>50</v>
      </c>
    </row>
    <row r="3" spans="1:6" ht="81" customHeight="1">
      <c r="A3" s="39" t="s">
        <v>51</v>
      </c>
      <c r="B3" s="40" t="s">
        <v>52</v>
      </c>
      <c r="C3" s="41" t="s">
        <v>142</v>
      </c>
      <c r="D3" s="41" t="s">
        <v>143</v>
      </c>
      <c r="E3" s="41" t="s">
        <v>144</v>
      </c>
      <c r="F3" s="41" t="s">
        <v>145</v>
      </c>
    </row>
    <row r="4" spans="1:6" ht="15.75">
      <c r="A4" s="28" t="s">
        <v>146</v>
      </c>
      <c r="B4" s="29"/>
      <c r="C4" s="36">
        <f>D4+E4+F4</f>
        <v>1125558.3</v>
      </c>
      <c r="D4" s="36">
        <f>D5+D28</f>
        <v>1017.0999999999999</v>
      </c>
      <c r="E4" s="36">
        <f>E5+E28</f>
        <v>482949.39999999997</v>
      </c>
      <c r="F4" s="36">
        <f>F5+F28</f>
        <v>641591.8</v>
      </c>
    </row>
    <row r="5" spans="1:6" ht="15.75">
      <c r="A5" s="28" t="s">
        <v>147</v>
      </c>
      <c r="B5" s="30"/>
      <c r="C5" s="36">
        <f aca="true" t="shared" si="0" ref="C5:C16">D5+E5+F5</f>
        <v>913629.5</v>
      </c>
      <c r="D5" s="36">
        <f>D6+D7+D10+D12+D15+D18+D22+D23+D27</f>
        <v>0</v>
      </c>
      <c r="E5" s="36">
        <f>E6+E7+E10+E12+E15+E18+E22+E23+E27</f>
        <v>481084.1</v>
      </c>
      <c r="F5" s="36">
        <f>F6+F7+F10+F12+F15+F18+F22+F23+F27</f>
        <v>432545.4</v>
      </c>
    </row>
    <row r="6" spans="1:6" ht="47.25">
      <c r="A6" s="28" t="s">
        <v>79</v>
      </c>
      <c r="B6" s="42" t="s">
        <v>54</v>
      </c>
      <c r="C6" s="36">
        <f t="shared" si="0"/>
        <v>5</v>
      </c>
      <c r="D6" s="36">
        <v>0</v>
      </c>
      <c r="E6" s="36">
        <v>0</v>
      </c>
      <c r="F6" s="36">
        <v>5</v>
      </c>
    </row>
    <row r="7" spans="1:6" ht="31.5">
      <c r="A7" s="28" t="s">
        <v>118</v>
      </c>
      <c r="B7" s="42" t="s">
        <v>57</v>
      </c>
      <c r="C7" s="36">
        <f t="shared" si="0"/>
        <v>708702.9</v>
      </c>
      <c r="D7" s="36">
        <f>SUBTOTAL(9,D8)</f>
        <v>0</v>
      </c>
      <c r="E7" s="36">
        <f>SUM(E8,E9)</f>
        <v>447059.8</v>
      </c>
      <c r="F7" s="36">
        <f>SUM(F8,F9)</f>
        <v>261643.1</v>
      </c>
    </row>
    <row r="8" spans="1:6" s="31" customFormat="1" ht="31.5">
      <c r="A8" s="79" t="s">
        <v>148</v>
      </c>
      <c r="B8" s="80" t="s">
        <v>149</v>
      </c>
      <c r="C8" s="81">
        <f t="shared" si="0"/>
        <v>477319.89999999997</v>
      </c>
      <c r="D8" s="81">
        <v>0</v>
      </c>
      <c r="E8" s="81">
        <v>447059.8</v>
      </c>
      <c r="F8" s="81">
        <v>30260.1</v>
      </c>
    </row>
    <row r="9" spans="1:6" s="31" customFormat="1" ht="31.5">
      <c r="A9" s="79" t="s">
        <v>131</v>
      </c>
      <c r="B9" s="80" t="s">
        <v>150</v>
      </c>
      <c r="C9" s="81">
        <f t="shared" si="0"/>
        <v>231383</v>
      </c>
      <c r="D9" s="81">
        <v>0</v>
      </c>
      <c r="E9" s="81">
        <v>0</v>
      </c>
      <c r="F9" s="81">
        <v>231383</v>
      </c>
    </row>
    <row r="10" spans="1:6" ht="31.5">
      <c r="A10" s="28" t="s">
        <v>107</v>
      </c>
      <c r="B10" s="42" t="s">
        <v>71</v>
      </c>
      <c r="C10" s="36">
        <f t="shared" si="0"/>
        <v>100</v>
      </c>
      <c r="D10" s="36"/>
      <c r="E10" s="36">
        <f>SUM(E11)</f>
        <v>0</v>
      </c>
      <c r="F10" s="36">
        <f>SUM(F11)</f>
        <v>100</v>
      </c>
    </row>
    <row r="11" spans="1:6" s="31" customFormat="1" ht="15.75">
      <c r="A11" s="79" t="s">
        <v>108</v>
      </c>
      <c r="B11" s="80" t="s">
        <v>151</v>
      </c>
      <c r="C11" s="81">
        <f t="shared" si="0"/>
        <v>100</v>
      </c>
      <c r="D11" s="81">
        <v>0</v>
      </c>
      <c r="E11" s="81">
        <v>0</v>
      </c>
      <c r="F11" s="81">
        <v>100</v>
      </c>
    </row>
    <row r="12" spans="1:6" ht="31.5">
      <c r="A12" s="28" t="s">
        <v>129</v>
      </c>
      <c r="B12" s="42" t="s">
        <v>61</v>
      </c>
      <c r="C12" s="36">
        <f t="shared" si="0"/>
        <v>23053.8</v>
      </c>
      <c r="D12" s="36"/>
      <c r="E12" s="36">
        <f>SUM(E13,E14)</f>
        <v>0</v>
      </c>
      <c r="F12" s="36">
        <f>SUM(F13,F14)</f>
        <v>23053.8</v>
      </c>
    </row>
    <row r="13" spans="1:6" s="31" customFormat="1" ht="15.75">
      <c r="A13" s="79" t="s">
        <v>130</v>
      </c>
      <c r="B13" s="80" t="s">
        <v>152</v>
      </c>
      <c r="C13" s="81">
        <f t="shared" si="0"/>
        <v>1757.6</v>
      </c>
      <c r="D13" s="81">
        <v>0</v>
      </c>
      <c r="E13" s="81">
        <v>0</v>
      </c>
      <c r="F13" s="81">
        <v>1757.6</v>
      </c>
    </row>
    <row r="14" spans="1:6" s="31" customFormat="1" ht="31.5">
      <c r="A14" s="79" t="s">
        <v>131</v>
      </c>
      <c r="B14" s="80" t="s">
        <v>153</v>
      </c>
      <c r="C14" s="81">
        <f t="shared" si="0"/>
        <v>21296.2</v>
      </c>
      <c r="D14" s="81">
        <v>0</v>
      </c>
      <c r="E14" s="81">
        <v>0</v>
      </c>
      <c r="F14" s="81">
        <v>21296.2</v>
      </c>
    </row>
    <row r="15" spans="1:6" ht="31.5">
      <c r="A15" s="28" t="s">
        <v>96</v>
      </c>
      <c r="B15" s="42" t="s">
        <v>64</v>
      </c>
      <c r="C15" s="36">
        <f t="shared" si="0"/>
        <v>42834.3</v>
      </c>
      <c r="D15" s="36"/>
      <c r="E15" s="36">
        <f>SUM(E16,E17)</f>
        <v>0</v>
      </c>
      <c r="F15" s="36">
        <f>SUM(F16,F17)</f>
        <v>42834.3</v>
      </c>
    </row>
    <row r="16" spans="1:6" s="31" customFormat="1" ht="15.75">
      <c r="A16" s="79" t="s">
        <v>97</v>
      </c>
      <c r="B16" s="80" t="s">
        <v>154</v>
      </c>
      <c r="C16" s="81">
        <f t="shared" si="0"/>
        <v>10184.5</v>
      </c>
      <c r="D16" s="81">
        <v>0</v>
      </c>
      <c r="E16" s="81"/>
      <c r="F16" s="81">
        <v>10184.5</v>
      </c>
    </row>
    <row r="17" spans="1:6" s="31" customFormat="1" ht="15.75" customHeight="1">
      <c r="A17" s="79" t="s">
        <v>98</v>
      </c>
      <c r="B17" s="80" t="s">
        <v>155</v>
      </c>
      <c r="C17" s="43">
        <f aca="true" t="shared" si="1" ref="C17:C32">D17+E17+F17</f>
        <v>32649.8</v>
      </c>
      <c r="D17" s="43">
        <v>0</v>
      </c>
      <c r="E17" s="43">
        <v>0</v>
      </c>
      <c r="F17" s="43">
        <v>32649.8</v>
      </c>
    </row>
    <row r="18" spans="1:6" ht="31.5">
      <c r="A18" s="28" t="s">
        <v>85</v>
      </c>
      <c r="B18" s="42" t="s">
        <v>104</v>
      </c>
      <c r="C18" s="36">
        <f t="shared" si="1"/>
        <v>19752.800000000003</v>
      </c>
      <c r="D18" s="36"/>
      <c r="E18" s="36">
        <f>SUM(E19,E20)</f>
        <v>0</v>
      </c>
      <c r="F18" s="36">
        <f>SUM(F19,F20,F21)</f>
        <v>19752.800000000003</v>
      </c>
    </row>
    <row r="19" spans="1:6" s="31" customFormat="1" ht="15.75">
      <c r="A19" s="79" t="s">
        <v>86</v>
      </c>
      <c r="B19" s="80" t="s">
        <v>156</v>
      </c>
      <c r="C19" s="81">
        <f t="shared" si="1"/>
        <v>10376.6</v>
      </c>
      <c r="D19" s="81">
        <v>0</v>
      </c>
      <c r="E19" s="81">
        <v>0</v>
      </c>
      <c r="F19" s="81">
        <v>10376.6</v>
      </c>
    </row>
    <row r="20" spans="1:6" s="31" customFormat="1" ht="15.75">
      <c r="A20" s="79" t="s">
        <v>89</v>
      </c>
      <c r="B20" s="80" t="s">
        <v>157</v>
      </c>
      <c r="C20" s="81">
        <f t="shared" si="1"/>
        <v>8476.2</v>
      </c>
      <c r="D20" s="81">
        <v>0</v>
      </c>
      <c r="E20" s="81">
        <v>0</v>
      </c>
      <c r="F20" s="81">
        <v>8476.2</v>
      </c>
    </row>
    <row r="21" spans="1:6" s="31" customFormat="1" ht="15.75">
      <c r="A21" s="79" t="s">
        <v>92</v>
      </c>
      <c r="B21" s="80" t="s">
        <v>158</v>
      </c>
      <c r="C21" s="81">
        <f t="shared" si="1"/>
        <v>900</v>
      </c>
      <c r="D21" s="81">
        <v>0</v>
      </c>
      <c r="E21" s="81">
        <v>0</v>
      </c>
      <c r="F21" s="81">
        <v>900</v>
      </c>
    </row>
    <row r="22" spans="1:6" ht="31.5">
      <c r="A22" s="28" t="s">
        <v>82</v>
      </c>
      <c r="B22" s="42" t="s">
        <v>116</v>
      </c>
      <c r="C22" s="36">
        <f t="shared" si="1"/>
        <v>84194.9</v>
      </c>
      <c r="D22" s="36">
        <v>0</v>
      </c>
      <c r="E22" s="36">
        <v>938.5</v>
      </c>
      <c r="F22" s="36">
        <v>83256.4</v>
      </c>
    </row>
    <row r="23" spans="1:6" ht="31.5">
      <c r="A23" s="28" t="s">
        <v>109</v>
      </c>
      <c r="B23" s="42" t="s">
        <v>84</v>
      </c>
      <c r="C23" s="36">
        <f t="shared" si="1"/>
        <v>33085.8</v>
      </c>
      <c r="D23" s="43"/>
      <c r="E23" s="36">
        <f>E24+E25+E26</f>
        <v>33085.8</v>
      </c>
      <c r="F23" s="36">
        <f>F24+F25+F26</f>
        <v>0</v>
      </c>
    </row>
    <row r="24" spans="1:6" s="31" customFormat="1" ht="17.25" customHeight="1" hidden="1">
      <c r="A24" s="35" t="s">
        <v>110</v>
      </c>
      <c r="B24" s="44" t="s">
        <v>159</v>
      </c>
      <c r="C24" s="43">
        <f t="shared" si="1"/>
        <v>0</v>
      </c>
      <c r="D24" s="43">
        <v>0</v>
      </c>
      <c r="E24" s="43">
        <v>0</v>
      </c>
      <c r="F24" s="43">
        <v>0</v>
      </c>
    </row>
    <row r="25" spans="1:6" s="31" customFormat="1" ht="31.5">
      <c r="A25" s="35" t="s">
        <v>111</v>
      </c>
      <c r="B25" s="44" t="s">
        <v>160</v>
      </c>
      <c r="C25" s="43">
        <f t="shared" si="1"/>
        <v>33085.8</v>
      </c>
      <c r="D25" s="43">
        <v>0</v>
      </c>
      <c r="E25" s="43">
        <v>33085.8</v>
      </c>
      <c r="F25" s="43">
        <v>0</v>
      </c>
    </row>
    <row r="26" spans="1:6" s="31" customFormat="1" ht="15.75" hidden="1">
      <c r="A26" s="35" t="s">
        <v>112</v>
      </c>
      <c r="B26" s="44" t="s">
        <v>161</v>
      </c>
      <c r="C26" s="43">
        <f>D26+E26+F26</f>
        <v>0</v>
      </c>
      <c r="D26" s="43">
        <v>0</v>
      </c>
      <c r="E26" s="43">
        <v>0</v>
      </c>
      <c r="F26" s="43">
        <v>0</v>
      </c>
    </row>
    <row r="27" spans="1:6" ht="31.5">
      <c r="A27" s="33" t="s">
        <v>77</v>
      </c>
      <c r="B27" s="42" t="s">
        <v>88</v>
      </c>
      <c r="C27" s="36">
        <f t="shared" si="1"/>
        <v>1900</v>
      </c>
      <c r="D27" s="36">
        <v>0</v>
      </c>
      <c r="E27" s="36">
        <v>0</v>
      </c>
      <c r="F27" s="36">
        <v>1900</v>
      </c>
    </row>
    <row r="28" spans="1:6" s="47" customFormat="1" ht="15.75">
      <c r="A28" s="48" t="s">
        <v>162</v>
      </c>
      <c r="B28" s="49"/>
      <c r="C28" s="36">
        <f t="shared" si="1"/>
        <v>211928.8</v>
      </c>
      <c r="D28" s="36">
        <f>D29+D33+D36+D39+D41+D44</f>
        <v>1017.0999999999999</v>
      </c>
      <c r="E28" s="36">
        <f>E29+E33+E36+E39+E41+E44</f>
        <v>1865.3</v>
      </c>
      <c r="F28" s="36">
        <f>F29+F33+F36+F39+F41+F44</f>
        <v>209046.4</v>
      </c>
    </row>
    <row r="29" spans="1:6" ht="31.5">
      <c r="A29" s="28" t="s">
        <v>58</v>
      </c>
      <c r="B29" s="42" t="s">
        <v>163</v>
      </c>
      <c r="C29" s="36">
        <f t="shared" si="1"/>
        <v>102337.9</v>
      </c>
      <c r="D29" s="36">
        <f>D30+D31</f>
        <v>969.3</v>
      </c>
      <c r="E29" s="36">
        <f>E30+E31</f>
        <v>321.2</v>
      </c>
      <c r="F29" s="36">
        <f>F30+F31</f>
        <v>101047.4</v>
      </c>
    </row>
    <row r="30" spans="1:6" s="31" customFormat="1" ht="15.75">
      <c r="A30" s="35" t="s">
        <v>59</v>
      </c>
      <c r="B30" s="44" t="s">
        <v>164</v>
      </c>
      <c r="C30" s="43">
        <f t="shared" si="1"/>
        <v>4110</v>
      </c>
      <c r="D30" s="43">
        <v>0</v>
      </c>
      <c r="E30" s="43">
        <v>0</v>
      </c>
      <c r="F30" s="43">
        <v>4110</v>
      </c>
    </row>
    <row r="31" spans="1:6" s="31" customFormat="1" ht="15.75">
      <c r="A31" s="35" t="s">
        <v>62</v>
      </c>
      <c r="B31" s="44" t="s">
        <v>166</v>
      </c>
      <c r="C31" s="43">
        <f t="shared" si="1"/>
        <v>98227.9</v>
      </c>
      <c r="D31" s="37">
        <v>969.3</v>
      </c>
      <c r="E31" s="37">
        <v>321.2</v>
      </c>
      <c r="F31" s="43">
        <v>96937.4</v>
      </c>
    </row>
    <row r="32" spans="1:6" ht="47.25" hidden="1">
      <c r="A32" s="34" t="s">
        <v>167</v>
      </c>
      <c r="B32" s="44" t="s">
        <v>72</v>
      </c>
      <c r="C32" s="43">
        <f t="shared" si="1"/>
        <v>0</v>
      </c>
      <c r="D32" s="43">
        <v>0</v>
      </c>
      <c r="E32" s="37"/>
      <c r="F32" s="43"/>
    </row>
    <row r="33" spans="1:6" ht="31.5">
      <c r="A33" s="28" t="s">
        <v>69</v>
      </c>
      <c r="B33" s="42" t="s">
        <v>168</v>
      </c>
      <c r="C33" s="36">
        <f aca="true" t="shared" si="2" ref="C33:C46">D33+E33+F33</f>
        <v>80320</v>
      </c>
      <c r="D33" s="50">
        <f>D34+D35</f>
        <v>0</v>
      </c>
      <c r="E33" s="50">
        <f>E34+E35</f>
        <v>1544.1</v>
      </c>
      <c r="F33" s="36">
        <f>F34+F35</f>
        <v>78775.9</v>
      </c>
    </row>
    <row r="34" spans="1:6" s="31" customFormat="1" ht="31.5">
      <c r="A34" s="35" t="s">
        <v>70</v>
      </c>
      <c r="B34" s="44" t="s">
        <v>169</v>
      </c>
      <c r="C34" s="43">
        <f t="shared" si="2"/>
        <v>53063.7</v>
      </c>
      <c r="D34" s="37">
        <v>0</v>
      </c>
      <c r="E34" s="37">
        <v>1544.1</v>
      </c>
      <c r="F34" s="43">
        <v>51519.6</v>
      </c>
    </row>
    <row r="35" spans="1:6" s="31" customFormat="1" ht="15.75">
      <c r="A35" s="35" t="s">
        <v>126</v>
      </c>
      <c r="B35" s="44" t="s">
        <v>170</v>
      </c>
      <c r="C35" s="43">
        <f t="shared" si="2"/>
        <v>27256.3</v>
      </c>
      <c r="D35" s="43">
        <v>0</v>
      </c>
      <c r="E35" s="43">
        <v>0</v>
      </c>
      <c r="F35" s="43">
        <v>27256.3</v>
      </c>
    </row>
    <row r="36" spans="1:6" ht="15.75">
      <c r="A36" s="28" t="s">
        <v>65</v>
      </c>
      <c r="B36" s="42" t="s">
        <v>171</v>
      </c>
      <c r="C36" s="36">
        <f t="shared" si="2"/>
        <v>21390.3</v>
      </c>
      <c r="D36" s="50">
        <f>D37+D38</f>
        <v>47.8</v>
      </c>
      <c r="E36" s="50">
        <f>E37+E38</f>
        <v>0</v>
      </c>
      <c r="F36" s="36">
        <f>F37+F38</f>
        <v>21342.5</v>
      </c>
    </row>
    <row r="37" spans="1:6" s="31" customFormat="1" ht="15.75">
      <c r="A37" s="35" t="s">
        <v>66</v>
      </c>
      <c r="B37" s="44" t="s">
        <v>172</v>
      </c>
      <c r="C37" s="43">
        <f t="shared" si="2"/>
        <v>11991.599999999999</v>
      </c>
      <c r="D37" s="43">
        <v>47.8</v>
      </c>
      <c r="E37" s="43"/>
      <c r="F37" s="43">
        <v>11943.8</v>
      </c>
    </row>
    <row r="38" spans="1:6" s="47" customFormat="1" ht="15.75">
      <c r="A38" s="45" t="s">
        <v>114</v>
      </c>
      <c r="B38" s="46" t="s">
        <v>173</v>
      </c>
      <c r="C38" s="36">
        <f t="shared" si="2"/>
        <v>9398.7</v>
      </c>
      <c r="D38" s="50">
        <v>0</v>
      </c>
      <c r="E38" s="50">
        <v>0</v>
      </c>
      <c r="F38" s="36">
        <v>9398.7</v>
      </c>
    </row>
    <row r="39" spans="1:6" ht="15.75">
      <c r="A39" s="28" t="s">
        <v>133</v>
      </c>
      <c r="B39" s="42" t="s">
        <v>174</v>
      </c>
      <c r="C39" s="36">
        <f t="shared" si="2"/>
        <v>1320.7</v>
      </c>
      <c r="D39" s="50">
        <f>D40+D52</f>
        <v>0</v>
      </c>
      <c r="E39" s="50">
        <f>E40+E52</f>
        <v>0</v>
      </c>
      <c r="F39" s="36">
        <f>F40+F52</f>
        <v>1320.7</v>
      </c>
    </row>
    <row r="40" spans="1:6" s="31" customFormat="1" ht="15.75">
      <c r="A40" s="35" t="s">
        <v>135</v>
      </c>
      <c r="B40" s="44" t="s">
        <v>175</v>
      </c>
      <c r="C40" s="43">
        <f t="shared" si="2"/>
        <v>1320.7</v>
      </c>
      <c r="D40" s="37">
        <v>0</v>
      </c>
      <c r="E40" s="37">
        <v>0</v>
      </c>
      <c r="F40" s="43">
        <v>1320.7</v>
      </c>
    </row>
    <row r="41" spans="1:6" ht="15.75">
      <c r="A41" s="28" t="s">
        <v>136</v>
      </c>
      <c r="B41" s="42" t="s">
        <v>176</v>
      </c>
      <c r="C41" s="36">
        <f t="shared" si="2"/>
        <v>4608.9</v>
      </c>
      <c r="D41" s="36"/>
      <c r="E41" s="50">
        <f>E42+E43</f>
        <v>0</v>
      </c>
      <c r="F41" s="36">
        <f>F42+F43</f>
        <v>4608.9</v>
      </c>
    </row>
    <row r="42" spans="1:6" s="31" customFormat="1" ht="16.5" customHeight="1">
      <c r="A42" s="35" t="s">
        <v>138</v>
      </c>
      <c r="B42" s="44" t="s">
        <v>177</v>
      </c>
      <c r="C42" s="43">
        <f t="shared" si="2"/>
        <v>2845.4</v>
      </c>
      <c r="D42" s="43">
        <v>0</v>
      </c>
      <c r="E42" s="37">
        <v>0</v>
      </c>
      <c r="F42" s="43">
        <v>2845.4</v>
      </c>
    </row>
    <row r="43" spans="1:6" s="31" customFormat="1" ht="15.75" customHeight="1">
      <c r="A43" s="35" t="s">
        <v>178</v>
      </c>
      <c r="B43" s="44" t="s">
        <v>179</v>
      </c>
      <c r="C43" s="43">
        <f t="shared" si="2"/>
        <v>1763.5</v>
      </c>
      <c r="D43" s="43">
        <v>0</v>
      </c>
      <c r="E43" s="37">
        <v>0</v>
      </c>
      <c r="F43" s="43">
        <v>1763.5</v>
      </c>
    </row>
    <row r="44" spans="1:6" ht="15.75">
      <c r="A44" s="28" t="s">
        <v>139</v>
      </c>
      <c r="B44" s="42" t="s">
        <v>180</v>
      </c>
      <c r="C44" s="36">
        <f t="shared" si="2"/>
        <v>1951</v>
      </c>
      <c r="D44" s="36"/>
      <c r="E44" s="50">
        <f>E45+E65</f>
        <v>0</v>
      </c>
      <c r="F44" s="36">
        <f>F45+F65</f>
        <v>1951</v>
      </c>
    </row>
    <row r="45" spans="1:6" s="31" customFormat="1" ht="31.5">
      <c r="A45" s="35" t="s">
        <v>140</v>
      </c>
      <c r="B45" s="44" t="s">
        <v>181</v>
      </c>
      <c r="C45" s="43">
        <f t="shared" si="2"/>
        <v>1951</v>
      </c>
      <c r="D45" s="43">
        <v>0</v>
      </c>
      <c r="E45" s="37">
        <v>0</v>
      </c>
      <c r="F45" s="43">
        <v>1951</v>
      </c>
    </row>
    <row r="46" spans="1:6" ht="96" customHeight="1" hidden="1">
      <c r="A46" s="34" t="s">
        <v>165</v>
      </c>
      <c r="B46" s="44" t="s">
        <v>141</v>
      </c>
      <c r="C46" s="43">
        <f t="shared" si="2"/>
        <v>0</v>
      </c>
      <c r="D46" s="43"/>
      <c r="E46" s="37">
        <v>0</v>
      </c>
      <c r="F46" s="43">
        <v>0</v>
      </c>
    </row>
    <row r="51" spans="3:6" ht="15">
      <c r="C51" s="51"/>
      <c r="D51" s="51"/>
      <c r="E51" s="51"/>
      <c r="F51" s="51"/>
    </row>
    <row r="53" spans="3:6" ht="15">
      <c r="C53" s="51"/>
      <c r="D53" s="51"/>
      <c r="E53" s="51"/>
      <c r="F53" s="51"/>
    </row>
  </sheetData>
  <sheetProtection/>
  <mergeCells count="1">
    <mergeCell ref="A1:F1"/>
  </mergeCells>
  <printOptions/>
  <pageMargins left="0.31496062992125984" right="0.31496062992125984" top="0.5118110236220472" bottom="0.2362204724409449" header="0.31496062992125984" footer="0.1968503937007874"/>
  <pageSetup fitToHeight="13" fitToWidth="1" horizontalDpi="600" verticalDpi="600"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P200"/>
  <sheetViews>
    <sheetView view="pageBreakPreview" zoomScaleSheetLayoutView="100" zoomScalePageLayoutView="0" workbookViewId="0" topLeftCell="A1">
      <pane xSplit="2" ySplit="6" topLeftCell="C152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71" sqref="A71:O71"/>
    </sheetView>
  </sheetViews>
  <sheetFormatPr defaultColWidth="9.140625" defaultRowHeight="15"/>
  <cols>
    <col min="1" max="1" width="58.421875" style="301" customWidth="1"/>
    <col min="2" max="2" width="15.421875" style="101" customWidth="1"/>
    <col min="3" max="10" width="8.421875" style="101" hidden="1" customWidth="1"/>
    <col min="11" max="12" width="10.7109375" style="101" customWidth="1"/>
    <col min="13" max="13" width="10.28125" style="101" customWidth="1"/>
    <col min="14" max="14" width="10.8515625" style="101" customWidth="1"/>
    <col min="15" max="15" width="9.7109375" style="101" customWidth="1"/>
    <col min="16" max="16384" width="9.140625" style="101" customWidth="1"/>
  </cols>
  <sheetData>
    <row r="1" spans="1:15" ht="12.75">
      <c r="A1" s="99"/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377"/>
      <c r="N1" s="377"/>
      <c r="O1" s="377"/>
    </row>
    <row r="2" spans="1:15" ht="12.75" customHeight="1">
      <c r="A2" s="99"/>
      <c r="B2" s="102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</row>
    <row r="3" spans="1:15" ht="32.25" customHeight="1" thickBot="1">
      <c r="A3" s="378" t="s">
        <v>536</v>
      </c>
      <c r="B3" s="378"/>
      <c r="C3" s="378"/>
      <c r="D3" s="378"/>
      <c r="E3" s="378"/>
      <c r="F3" s="378"/>
      <c r="G3" s="378"/>
      <c r="H3" s="378"/>
      <c r="I3" s="378"/>
      <c r="J3" s="378"/>
      <c r="K3" s="378"/>
      <c r="L3" s="378"/>
      <c r="M3" s="378"/>
      <c r="N3" s="378"/>
      <c r="O3" s="378"/>
    </row>
    <row r="4" spans="1:15" ht="12.75">
      <c r="A4" s="379" t="s">
        <v>244</v>
      </c>
      <c r="B4" s="381" t="s">
        <v>245</v>
      </c>
      <c r="C4" s="104" t="s">
        <v>246</v>
      </c>
      <c r="D4" s="104" t="s">
        <v>246</v>
      </c>
      <c r="E4" s="104" t="s">
        <v>246</v>
      </c>
      <c r="F4" s="104" t="s">
        <v>246</v>
      </c>
      <c r="G4" s="104" t="s">
        <v>246</v>
      </c>
      <c r="H4" s="104" t="s">
        <v>246</v>
      </c>
      <c r="I4" s="104" t="s">
        <v>246</v>
      </c>
      <c r="J4" s="104" t="s">
        <v>246</v>
      </c>
      <c r="K4" s="104" t="s">
        <v>246</v>
      </c>
      <c r="L4" s="104" t="s">
        <v>247</v>
      </c>
      <c r="M4" s="383" t="s">
        <v>248</v>
      </c>
      <c r="N4" s="384"/>
      <c r="O4" s="385"/>
    </row>
    <row r="5" spans="1:15" ht="18.75" customHeight="1">
      <c r="A5" s="380"/>
      <c r="B5" s="382"/>
      <c r="C5" s="105" t="s">
        <v>249</v>
      </c>
      <c r="D5" s="105" t="s">
        <v>250</v>
      </c>
      <c r="E5" s="105" t="s">
        <v>251</v>
      </c>
      <c r="F5" s="105" t="s">
        <v>252</v>
      </c>
      <c r="G5" s="105" t="s">
        <v>253</v>
      </c>
      <c r="H5" s="105" t="s">
        <v>254</v>
      </c>
      <c r="I5" s="105" t="s">
        <v>255</v>
      </c>
      <c r="J5" s="105" t="s">
        <v>256</v>
      </c>
      <c r="K5" s="105" t="s">
        <v>257</v>
      </c>
      <c r="L5" s="105">
        <v>2017</v>
      </c>
      <c r="M5" s="105" t="s">
        <v>258</v>
      </c>
      <c r="N5" s="105" t="s">
        <v>462</v>
      </c>
      <c r="O5" s="106" t="s">
        <v>614</v>
      </c>
    </row>
    <row r="6" spans="1:15" ht="16.5" customHeight="1">
      <c r="A6" s="386" t="s">
        <v>259</v>
      </c>
      <c r="B6" s="387"/>
      <c r="C6" s="387"/>
      <c r="D6" s="387"/>
      <c r="E6" s="387"/>
      <c r="F6" s="387"/>
      <c r="G6" s="387"/>
      <c r="H6" s="387"/>
      <c r="I6" s="387"/>
      <c r="J6" s="387"/>
      <c r="K6" s="387"/>
      <c r="L6" s="387"/>
      <c r="M6" s="387"/>
      <c r="N6" s="387"/>
      <c r="O6" s="388"/>
    </row>
    <row r="7" spans="1:15" ht="12.75">
      <c r="A7" s="107" t="s">
        <v>260</v>
      </c>
      <c r="B7" s="108" t="s">
        <v>261</v>
      </c>
      <c r="C7" s="109">
        <v>6.019</v>
      </c>
      <c r="D7" s="110">
        <v>5.897</v>
      </c>
      <c r="E7" s="110">
        <v>5.277</v>
      </c>
      <c r="F7" s="110">
        <v>5.352</v>
      </c>
      <c r="G7" s="110">
        <v>5.141</v>
      </c>
      <c r="H7" s="111">
        <v>5.197</v>
      </c>
      <c r="I7" s="111">
        <v>5.122</v>
      </c>
      <c r="J7" s="111">
        <v>4.814</v>
      </c>
      <c r="K7" s="111">
        <v>4.692</v>
      </c>
      <c r="L7" s="111">
        <v>4.7</v>
      </c>
      <c r="M7" s="111">
        <v>4.75</v>
      </c>
      <c r="N7" s="111">
        <v>4.8</v>
      </c>
      <c r="O7" s="112">
        <v>4.85</v>
      </c>
    </row>
    <row r="8" spans="1:15" ht="22.5">
      <c r="A8" s="107"/>
      <c r="B8" s="108" t="s">
        <v>262</v>
      </c>
      <c r="C8" s="113">
        <f>SUM((C7/(2202+3923)*100))</f>
        <v>0.09826938775510204</v>
      </c>
      <c r="D8" s="113">
        <f>SUM(D7/C7*100)</f>
        <v>97.97308523010467</v>
      </c>
      <c r="E8" s="114">
        <f>SUM((E7/D7)*100)</f>
        <v>89.48617941326098</v>
      </c>
      <c r="F8" s="114">
        <f>SUM((F7/E7)*100)</f>
        <v>101.42126208072769</v>
      </c>
      <c r="G8" s="114">
        <f aca="true" t="shared" si="0" ref="G8:M8">SUM(G7/F7*100)</f>
        <v>96.0575485799701</v>
      </c>
      <c r="H8" s="114">
        <f t="shared" si="0"/>
        <v>101.08928224080917</v>
      </c>
      <c r="I8" s="114">
        <f t="shared" si="0"/>
        <v>98.55685972676544</v>
      </c>
      <c r="J8" s="115">
        <f t="shared" si="0"/>
        <v>93.98672393596252</v>
      </c>
      <c r="K8" s="115">
        <f t="shared" si="0"/>
        <v>97.46572496884089</v>
      </c>
      <c r="L8" s="115">
        <f t="shared" si="0"/>
        <v>100.17050298380221</v>
      </c>
      <c r="M8" s="115">
        <f t="shared" si="0"/>
        <v>101.06382978723406</v>
      </c>
      <c r="N8" s="115">
        <f>SUM((N7/M7)*100)</f>
        <v>101.05263157894737</v>
      </c>
      <c r="O8" s="116">
        <f>SUM((O7/N7)*100)</f>
        <v>101.04166666666667</v>
      </c>
    </row>
    <row r="9" spans="1:15" ht="12.75">
      <c r="A9" s="107" t="s">
        <v>263</v>
      </c>
      <c r="B9" s="108" t="s">
        <v>261</v>
      </c>
      <c r="C9" s="109">
        <f>492+652+2349</f>
        <v>3493</v>
      </c>
      <c r="D9" s="110">
        <v>3.435</v>
      </c>
      <c r="E9" s="110">
        <v>3.258</v>
      </c>
      <c r="F9" s="110">
        <v>3.168</v>
      </c>
      <c r="G9" s="110">
        <v>3.058</v>
      </c>
      <c r="H9" s="111">
        <v>3.193</v>
      </c>
      <c r="I9" s="111">
        <v>3.2</v>
      </c>
      <c r="J9" s="111">
        <f>2.815+0.155</f>
        <v>2.9699999999999998</v>
      </c>
      <c r="K9" s="111">
        <v>2.86</v>
      </c>
      <c r="L9" s="111">
        <v>2.9</v>
      </c>
      <c r="M9" s="111">
        <v>3</v>
      </c>
      <c r="N9" s="111">
        <v>3.1</v>
      </c>
      <c r="O9" s="112">
        <v>3.2</v>
      </c>
    </row>
    <row r="10" spans="1:15" ht="22.5">
      <c r="A10" s="107"/>
      <c r="B10" s="108" t="s">
        <v>262</v>
      </c>
      <c r="C10" s="114">
        <f>SUM(C9/3559*100)</f>
        <v>98.14554650182636</v>
      </c>
      <c r="D10" s="114">
        <f>SUM(D9/C9*100)</f>
        <v>0.09833953621528771</v>
      </c>
      <c r="E10" s="114">
        <f>SUM(E9/D9*100)</f>
        <v>94.8471615720524</v>
      </c>
      <c r="F10" s="114">
        <f>SUM(F9/E9*100)</f>
        <v>97.23756906077348</v>
      </c>
      <c r="G10" s="114">
        <f aca="true" t="shared" si="1" ref="G10:M10">SUM(G9/F9*100)</f>
        <v>96.52777777777777</v>
      </c>
      <c r="H10" s="114">
        <f t="shared" si="1"/>
        <v>104.41465009810334</v>
      </c>
      <c r="I10" s="114">
        <f t="shared" si="1"/>
        <v>100.21922956467273</v>
      </c>
      <c r="J10" s="115">
        <f t="shared" si="1"/>
        <v>92.81249999999999</v>
      </c>
      <c r="K10" s="115">
        <f t="shared" si="1"/>
        <v>96.2962962962963</v>
      </c>
      <c r="L10" s="115">
        <f t="shared" si="1"/>
        <v>101.3986013986014</v>
      </c>
      <c r="M10" s="115">
        <f t="shared" si="1"/>
        <v>103.44827586206897</v>
      </c>
      <c r="N10" s="115">
        <f>SUM(N9/M9*100)</f>
        <v>103.33333333333334</v>
      </c>
      <c r="O10" s="116">
        <f>SUM(O9/N9*100)</f>
        <v>103.2258064516129</v>
      </c>
    </row>
    <row r="11" spans="1:15" ht="12.75">
      <c r="A11" s="107" t="s">
        <v>264</v>
      </c>
      <c r="B11" s="108" t="s">
        <v>261</v>
      </c>
      <c r="C11" s="109">
        <f aca="true" t="shared" si="2" ref="C11:O11">C7-C9</f>
        <v>-3486.981</v>
      </c>
      <c r="D11" s="110">
        <f t="shared" si="2"/>
        <v>2.462</v>
      </c>
      <c r="E11" s="110">
        <f>E7-E9</f>
        <v>2.019</v>
      </c>
      <c r="F11" s="110">
        <f>F7-F9</f>
        <v>2.184</v>
      </c>
      <c r="G11" s="110">
        <f t="shared" si="2"/>
        <v>2.083</v>
      </c>
      <c r="H11" s="111">
        <f>H7-H9+0.01</f>
        <v>2.014</v>
      </c>
      <c r="I11" s="111">
        <f>I7-I9</f>
        <v>1.9219999999999997</v>
      </c>
      <c r="J11" s="111">
        <f t="shared" si="2"/>
        <v>1.8440000000000003</v>
      </c>
      <c r="K11" s="111">
        <f t="shared" si="2"/>
        <v>1.8320000000000003</v>
      </c>
      <c r="L11" s="111">
        <f>L7-L9</f>
        <v>1.8000000000000003</v>
      </c>
      <c r="M11" s="111">
        <f t="shared" si="2"/>
        <v>1.75</v>
      </c>
      <c r="N11" s="111">
        <f t="shared" si="2"/>
        <v>1.6999999999999997</v>
      </c>
      <c r="O11" s="112">
        <f t="shared" si="2"/>
        <v>1.6499999999999995</v>
      </c>
    </row>
    <row r="12" spans="1:15" ht="16.5" customHeight="1">
      <c r="A12" s="386" t="s">
        <v>265</v>
      </c>
      <c r="B12" s="387"/>
      <c r="C12" s="387"/>
      <c r="D12" s="387"/>
      <c r="E12" s="387"/>
      <c r="F12" s="387"/>
      <c r="G12" s="387"/>
      <c r="H12" s="387"/>
      <c r="I12" s="387"/>
      <c r="J12" s="387"/>
      <c r="K12" s="387"/>
      <c r="L12" s="387"/>
      <c r="M12" s="387"/>
      <c r="N12" s="387"/>
      <c r="O12" s="388"/>
    </row>
    <row r="13" spans="1:15" ht="12.75">
      <c r="A13" s="389" t="s">
        <v>266</v>
      </c>
      <c r="B13" s="390"/>
      <c r="C13" s="387"/>
      <c r="D13" s="387"/>
      <c r="E13" s="387"/>
      <c r="F13" s="387"/>
      <c r="G13" s="387"/>
      <c r="H13" s="387"/>
      <c r="I13" s="387"/>
      <c r="J13" s="387"/>
      <c r="K13" s="387"/>
      <c r="L13" s="387"/>
      <c r="M13" s="387"/>
      <c r="N13" s="387"/>
      <c r="O13" s="388"/>
    </row>
    <row r="14" spans="1:15" ht="12.75">
      <c r="A14" s="117" t="s">
        <v>267</v>
      </c>
      <c r="B14" s="108" t="s">
        <v>268</v>
      </c>
      <c r="C14" s="118">
        <f>182.842+293.508+176.248+7.989+380.445+34.892+62.635+2.06</f>
        <v>1140.619</v>
      </c>
      <c r="D14" s="118">
        <v>1879.3</v>
      </c>
      <c r="E14" s="118">
        <f>390.6+793.14*1000*1700/1000000</f>
        <v>1738.938</v>
      </c>
      <c r="F14" s="118">
        <f>413+413+837.79*1000*1700/1000000</f>
        <v>2250.243</v>
      </c>
      <c r="G14" s="119">
        <f>617.4+607.4+1089.505*1000*1600/1000000</f>
        <v>2968.008</v>
      </c>
      <c r="H14" s="119">
        <f>655.1+381+1072*1000*1400/1000000</f>
        <v>2536.8999999999996</v>
      </c>
      <c r="I14" s="119">
        <f>668.3+368+1047.144*1000*1729/1000000</f>
        <v>2846.811976</v>
      </c>
      <c r="J14" s="119">
        <f>680.4+433.3+1007.06*1000*2329.75/1000000</f>
        <v>3459.898035</v>
      </c>
      <c r="K14" s="119">
        <f>700+492.8+202.7+985.788*1000*2260.43/1000000</f>
        <v>3623.8047688399997</v>
      </c>
      <c r="L14" s="119">
        <f>512+417.9+193.3+1063.659*1000*2366/1000000</f>
        <v>3639.817194</v>
      </c>
      <c r="M14" s="119">
        <f>600+438+189+1100*1000*2300/1000000</f>
        <v>3757</v>
      </c>
      <c r="N14" s="119">
        <f>(600+438+189)*101%+(1100*1000*2350/1000000)</f>
        <v>3824.27</v>
      </c>
      <c r="O14" s="120">
        <f>(600+438+189)*102%+(1100*1000*2400/1000000)</f>
        <v>3891.54</v>
      </c>
    </row>
    <row r="15" spans="1:15" ht="22.5">
      <c r="A15" s="107"/>
      <c r="B15" s="108" t="s">
        <v>270</v>
      </c>
      <c r="C15" s="121"/>
      <c r="D15" s="121">
        <f aca="true" t="shared" si="3" ref="D15:O15">D14/C14*100</f>
        <v>164.7614146353866</v>
      </c>
      <c r="E15" s="121">
        <f t="shared" si="3"/>
        <v>92.53115521736818</v>
      </c>
      <c r="F15" s="121">
        <f t="shared" si="3"/>
        <v>129.40329097414627</v>
      </c>
      <c r="G15" s="121">
        <f t="shared" si="3"/>
        <v>131.89722176671586</v>
      </c>
      <c r="H15" s="121">
        <f t="shared" si="3"/>
        <v>85.47483699504852</v>
      </c>
      <c r="I15" s="121">
        <f>I14/H14*100</f>
        <v>112.21616839449725</v>
      </c>
      <c r="J15" s="122">
        <f>J14/I14*100</f>
        <v>121.53588168690493</v>
      </c>
      <c r="K15" s="122">
        <f>K14/J14*100</f>
        <v>104.73732844673268</v>
      </c>
      <c r="L15" s="122">
        <f>L14/K14*100</f>
        <v>100.44186776555091</v>
      </c>
      <c r="M15" s="122">
        <f>M14/L14*100</f>
        <v>103.21946954350256</v>
      </c>
      <c r="N15" s="122">
        <f t="shared" si="3"/>
        <v>101.79052435453819</v>
      </c>
      <c r="O15" s="123">
        <f t="shared" si="3"/>
        <v>101.75902852047581</v>
      </c>
    </row>
    <row r="16" spans="1:15" ht="12.75">
      <c r="A16" s="391" t="s">
        <v>272</v>
      </c>
      <c r="B16" s="387"/>
      <c r="C16" s="387"/>
      <c r="D16" s="387"/>
      <c r="E16" s="387"/>
      <c r="F16" s="387"/>
      <c r="G16" s="387"/>
      <c r="H16" s="387"/>
      <c r="I16" s="387"/>
      <c r="J16" s="387"/>
      <c r="K16" s="387"/>
      <c r="L16" s="387"/>
      <c r="M16" s="387"/>
      <c r="N16" s="387"/>
      <c r="O16" s="388"/>
    </row>
    <row r="17" spans="1:15" ht="12.75">
      <c r="A17" s="391" t="s">
        <v>273</v>
      </c>
      <c r="B17" s="392"/>
      <c r="C17" s="392"/>
      <c r="D17" s="392"/>
      <c r="E17" s="392"/>
      <c r="F17" s="392"/>
      <c r="G17" s="392"/>
      <c r="H17" s="392"/>
      <c r="I17" s="392"/>
      <c r="J17" s="392"/>
      <c r="K17" s="392"/>
      <c r="L17" s="392"/>
      <c r="M17" s="392"/>
      <c r="N17" s="392"/>
      <c r="O17" s="393"/>
    </row>
    <row r="18" spans="1:15" ht="12.75">
      <c r="A18" s="107" t="s">
        <v>267</v>
      </c>
      <c r="B18" s="108" t="s">
        <v>274</v>
      </c>
      <c r="C18" s="124">
        <f>293.508+34.892</f>
        <v>328.4</v>
      </c>
      <c r="D18" s="124">
        <v>409.4</v>
      </c>
      <c r="E18" s="124">
        <f>390.6</f>
        <v>390.6</v>
      </c>
      <c r="F18" s="124">
        <f>413+53.4</f>
        <v>466.4</v>
      </c>
      <c r="G18" s="124">
        <f>617.4+94.6</f>
        <v>712</v>
      </c>
      <c r="H18" s="124">
        <f>655.1+71</f>
        <v>726.1</v>
      </c>
      <c r="I18" s="124">
        <v>735.3</v>
      </c>
      <c r="J18" s="124">
        <v>785</v>
      </c>
      <c r="K18" s="124">
        <f>391+121.3</f>
        <v>512.3</v>
      </c>
      <c r="L18" s="124">
        <v>560.4</v>
      </c>
      <c r="M18" s="124">
        <v>600</v>
      </c>
      <c r="N18" s="124">
        <v>650</v>
      </c>
      <c r="O18" s="125">
        <v>700</v>
      </c>
    </row>
    <row r="19" spans="1:15" ht="22.5">
      <c r="A19" s="107"/>
      <c r="B19" s="108" t="s">
        <v>270</v>
      </c>
      <c r="C19" s="126"/>
      <c r="D19" s="127">
        <f>SUM((D18/C18)*100)</f>
        <v>124.66504263093788</v>
      </c>
      <c r="E19" s="127">
        <f>SUM((E18/D18)*100)</f>
        <v>95.40791402051784</v>
      </c>
      <c r="F19" s="127">
        <f>SUM((F18/E18)*100)</f>
        <v>119.40604198668714</v>
      </c>
      <c r="G19" s="127">
        <f>SUM((G18/F18)*100)</f>
        <v>152.65866209262435</v>
      </c>
      <c r="H19" s="127">
        <f>SUM((H18/G18)*100)</f>
        <v>101.98033707865169</v>
      </c>
      <c r="I19" s="127">
        <f>SUM((I18/G18)*100)</f>
        <v>103.27247191011236</v>
      </c>
      <c r="J19" s="127">
        <f aca="true" t="shared" si="4" ref="J19:O19">SUM((J18/I18)*100)</f>
        <v>106.7591459268326</v>
      </c>
      <c r="K19" s="127">
        <f t="shared" si="4"/>
        <v>65.26114649681529</v>
      </c>
      <c r="L19" s="127">
        <f t="shared" si="4"/>
        <v>109.38902986531329</v>
      </c>
      <c r="M19" s="127">
        <f t="shared" si="4"/>
        <v>107.06638115631692</v>
      </c>
      <c r="N19" s="127">
        <f t="shared" si="4"/>
        <v>108.33333333333333</v>
      </c>
      <c r="O19" s="128">
        <f t="shared" si="4"/>
        <v>107.6923076923077</v>
      </c>
    </row>
    <row r="20" spans="1:15" ht="12.75">
      <c r="A20" s="394" t="s">
        <v>275</v>
      </c>
      <c r="B20" s="387"/>
      <c r="C20" s="387"/>
      <c r="D20" s="387"/>
      <c r="E20" s="387"/>
      <c r="F20" s="387"/>
      <c r="G20" s="387"/>
      <c r="H20" s="387"/>
      <c r="I20" s="387"/>
      <c r="J20" s="387"/>
      <c r="K20" s="387"/>
      <c r="L20" s="387"/>
      <c r="M20" s="387"/>
      <c r="N20" s="387"/>
      <c r="O20" s="388"/>
    </row>
    <row r="21" spans="1:15" ht="12.75">
      <c r="A21" s="107" t="s">
        <v>267</v>
      </c>
      <c r="B21" s="108" t="s">
        <v>274</v>
      </c>
      <c r="C21" s="129">
        <f>2.06+7.989</f>
        <v>10.049</v>
      </c>
      <c r="D21" s="130">
        <v>12.94</v>
      </c>
      <c r="E21" s="131">
        <f>6.1+10.5+3.3</f>
        <v>19.900000000000002</v>
      </c>
      <c r="F21" s="131">
        <f>8.8+2.77+0.263+9</f>
        <v>20.833</v>
      </c>
      <c r="G21" s="131">
        <f>1.2+8.1+3.5+7.8</f>
        <v>20.599999999999998</v>
      </c>
      <c r="H21" s="131">
        <v>19.43</v>
      </c>
      <c r="I21" s="131">
        <v>20.06</v>
      </c>
      <c r="J21" s="131">
        <v>24.61</v>
      </c>
      <c r="K21" s="131">
        <v>27.5</v>
      </c>
      <c r="L21" s="131">
        <v>26.4</v>
      </c>
      <c r="M21" s="130">
        <v>29</v>
      </c>
      <c r="N21" s="130">
        <v>32</v>
      </c>
      <c r="O21" s="132">
        <v>34.5</v>
      </c>
    </row>
    <row r="22" spans="1:15" ht="22.5">
      <c r="A22" s="107"/>
      <c r="B22" s="108" t="s">
        <v>270</v>
      </c>
      <c r="C22" s="133"/>
      <c r="D22" s="134">
        <f aca="true" t="shared" si="5" ref="D22:J22">D21/C21*100</f>
        <v>128.76903174445218</v>
      </c>
      <c r="E22" s="121">
        <f t="shared" si="5"/>
        <v>153.78670788253478</v>
      </c>
      <c r="F22" s="121">
        <f t="shared" si="5"/>
        <v>104.68844221105526</v>
      </c>
      <c r="G22" s="121">
        <f t="shared" si="5"/>
        <v>98.88158210531368</v>
      </c>
      <c r="H22" s="121">
        <f t="shared" si="5"/>
        <v>94.32038834951457</v>
      </c>
      <c r="I22" s="121">
        <f t="shared" si="5"/>
        <v>103.24240864642304</v>
      </c>
      <c r="J22" s="122">
        <f t="shared" si="5"/>
        <v>122.68195413758724</v>
      </c>
      <c r="K22" s="135">
        <f>SUM((K21/J21)*100)</f>
        <v>111.74319382364892</v>
      </c>
      <c r="L22" s="135">
        <f>SUM((L21/K21)*100)</f>
        <v>96</v>
      </c>
      <c r="M22" s="135">
        <f>SUM((M21/L21)*100)</f>
        <v>109.84848484848486</v>
      </c>
      <c r="N22" s="122">
        <f>N21/M21*100</f>
        <v>110.34482758620689</v>
      </c>
      <c r="O22" s="123">
        <f>O21/N21*100</f>
        <v>107.8125</v>
      </c>
    </row>
    <row r="23" spans="1:15" ht="12.75">
      <c r="A23" s="389" t="s">
        <v>276</v>
      </c>
      <c r="B23" s="390"/>
      <c r="C23" s="387"/>
      <c r="D23" s="387"/>
      <c r="E23" s="387"/>
      <c r="F23" s="387"/>
      <c r="G23" s="387"/>
      <c r="H23" s="387"/>
      <c r="I23" s="387"/>
      <c r="J23" s="387"/>
      <c r="K23" s="387"/>
      <c r="L23" s="387"/>
      <c r="M23" s="387"/>
      <c r="N23" s="387"/>
      <c r="O23" s="388"/>
    </row>
    <row r="24" spans="1:15" ht="12.75">
      <c r="A24" s="136" t="s">
        <v>277</v>
      </c>
      <c r="B24" s="137" t="s">
        <v>278</v>
      </c>
      <c r="C24" s="138">
        <v>57967</v>
      </c>
      <c r="D24" s="138">
        <v>66121.3</v>
      </c>
      <c r="E24" s="138">
        <v>54347</v>
      </c>
      <c r="F24" s="138">
        <f>10632.264+49729</f>
        <v>60361.263999999996</v>
      </c>
      <c r="G24" s="138">
        <f>4392.586+42492</f>
        <v>46884.586</v>
      </c>
      <c r="H24" s="139">
        <f>51433+9743.1</f>
        <v>61176.1</v>
      </c>
      <c r="I24" s="139">
        <v>58285.55</v>
      </c>
      <c r="J24" s="139">
        <v>55581.7</v>
      </c>
      <c r="K24" s="139">
        <v>49971.5</v>
      </c>
      <c r="L24" s="139">
        <v>52879</v>
      </c>
      <c r="M24" s="139">
        <v>56029.4</v>
      </c>
      <c r="N24" s="139">
        <v>56589.7</v>
      </c>
      <c r="O24" s="140">
        <v>57155.6</v>
      </c>
    </row>
    <row r="25" spans="1:15" ht="12.75">
      <c r="A25" s="395" t="s">
        <v>279</v>
      </c>
      <c r="B25" s="396"/>
      <c r="C25" s="396"/>
      <c r="D25" s="396"/>
      <c r="E25" s="396"/>
      <c r="F25" s="396"/>
      <c r="G25" s="396"/>
      <c r="H25" s="396"/>
      <c r="I25" s="396"/>
      <c r="J25" s="396"/>
      <c r="K25" s="396"/>
      <c r="L25" s="396"/>
      <c r="M25" s="396"/>
      <c r="N25" s="396"/>
      <c r="O25" s="388"/>
    </row>
    <row r="26" spans="1:15" ht="12" customHeight="1">
      <c r="A26" s="136" t="s">
        <v>280</v>
      </c>
      <c r="B26" s="137" t="s">
        <v>278</v>
      </c>
      <c r="C26" s="138">
        <f>1429.2+47882.6</f>
        <v>49311.799999999996</v>
      </c>
      <c r="D26" s="138">
        <v>51481.7</v>
      </c>
      <c r="E26" s="138">
        <v>46850</v>
      </c>
      <c r="F26" s="138">
        <f>536.883+42338</f>
        <v>42874.883</v>
      </c>
      <c r="G26" s="138">
        <f>876.06+35020</f>
        <v>35896.06</v>
      </c>
      <c r="H26" s="139">
        <f>28334</f>
        <v>28334</v>
      </c>
      <c r="I26" s="139">
        <v>41104</v>
      </c>
      <c r="J26" s="139">
        <v>41845.9</v>
      </c>
      <c r="K26" s="139">
        <v>35997.5</v>
      </c>
      <c r="L26" s="139">
        <v>38972.9</v>
      </c>
      <c r="M26" s="139">
        <v>40916.8</v>
      </c>
      <c r="N26" s="139">
        <v>41325.97</v>
      </c>
      <c r="O26" s="140">
        <v>41739.2</v>
      </c>
    </row>
    <row r="27" spans="1:15" ht="12.75">
      <c r="A27" s="141" t="s">
        <v>281</v>
      </c>
      <c r="B27" s="137" t="s">
        <v>278</v>
      </c>
      <c r="C27" s="138">
        <f>63.6+74.94</f>
        <v>138.54</v>
      </c>
      <c r="D27" s="138">
        <v>168.1</v>
      </c>
      <c r="E27" s="138">
        <v>105</v>
      </c>
      <c r="F27" s="138">
        <f>61.894+92</f>
        <v>153.894</v>
      </c>
      <c r="G27" s="138">
        <f>48.665+86</f>
        <v>134.665</v>
      </c>
      <c r="H27" s="139">
        <f>154+61.4</f>
        <v>215.4</v>
      </c>
      <c r="I27" s="139">
        <v>184.3</v>
      </c>
      <c r="J27" s="139">
        <v>2130.8</v>
      </c>
      <c r="K27" s="139">
        <v>2212</v>
      </c>
      <c r="L27" s="139">
        <v>2214.8</v>
      </c>
      <c r="M27" s="139">
        <v>2211.9</v>
      </c>
      <c r="N27" s="139">
        <v>2234</v>
      </c>
      <c r="O27" s="140">
        <v>2256.36</v>
      </c>
    </row>
    <row r="28" spans="1:15" ht="12.75">
      <c r="A28" s="136" t="s">
        <v>282</v>
      </c>
      <c r="B28" s="137" t="s">
        <v>278</v>
      </c>
      <c r="C28" s="138">
        <f>2314.7+2500.53</f>
        <v>4815.23</v>
      </c>
      <c r="D28" s="138">
        <v>4811.7</v>
      </c>
      <c r="E28" s="138">
        <v>3176</v>
      </c>
      <c r="F28" s="138">
        <f>1760.159+3386</f>
        <v>5146.159</v>
      </c>
      <c r="G28" s="138">
        <f>2081.551+3283</f>
        <v>5364.5509999999995</v>
      </c>
      <c r="H28" s="139">
        <f>3515+1941.2</f>
        <v>5456.2</v>
      </c>
      <c r="I28" s="139">
        <v>5248.3</v>
      </c>
      <c r="J28" s="139">
        <v>4733.8</v>
      </c>
      <c r="K28" s="139">
        <v>5132.1</v>
      </c>
      <c r="L28" s="139">
        <v>5012.9</v>
      </c>
      <c r="M28" s="139">
        <v>5158.7</v>
      </c>
      <c r="N28" s="139">
        <v>5210.3</v>
      </c>
      <c r="O28" s="140">
        <v>5262.39</v>
      </c>
    </row>
    <row r="29" spans="1:15" ht="15" customHeight="1">
      <c r="A29" s="386" t="s">
        <v>283</v>
      </c>
      <c r="B29" s="387"/>
      <c r="C29" s="387"/>
      <c r="D29" s="387"/>
      <c r="E29" s="387"/>
      <c r="F29" s="387"/>
      <c r="G29" s="387"/>
      <c r="H29" s="387"/>
      <c r="I29" s="387"/>
      <c r="J29" s="387"/>
      <c r="K29" s="387"/>
      <c r="L29" s="387"/>
      <c r="M29" s="387"/>
      <c r="N29" s="387"/>
      <c r="O29" s="388"/>
    </row>
    <row r="30" spans="1:15" ht="12.75">
      <c r="A30" s="389" t="s">
        <v>284</v>
      </c>
      <c r="B30" s="390"/>
      <c r="C30" s="387"/>
      <c r="D30" s="387"/>
      <c r="E30" s="387"/>
      <c r="F30" s="387"/>
      <c r="G30" s="387"/>
      <c r="H30" s="387"/>
      <c r="I30" s="387"/>
      <c r="J30" s="387"/>
      <c r="K30" s="387"/>
      <c r="L30" s="387"/>
      <c r="M30" s="387"/>
      <c r="N30" s="387"/>
      <c r="O30" s="388"/>
    </row>
    <row r="31" spans="1:15" ht="12.75">
      <c r="A31" s="107" t="s">
        <v>267</v>
      </c>
      <c r="B31" s="108" t="s">
        <v>274</v>
      </c>
      <c r="C31" s="118">
        <f aca="true" t="shared" si="6" ref="C31:O31">C34+C36+C39</f>
        <v>16.553</v>
      </c>
      <c r="D31" s="118">
        <f t="shared" si="6"/>
        <v>32.303999999999995</v>
      </c>
      <c r="E31" s="118">
        <f t="shared" si="6"/>
        <v>52.89</v>
      </c>
      <c r="F31" s="118">
        <f t="shared" si="6"/>
        <v>67.492</v>
      </c>
      <c r="G31" s="118">
        <f t="shared" si="6"/>
        <v>64.274</v>
      </c>
      <c r="H31" s="118">
        <f t="shared" si="6"/>
        <v>68.845</v>
      </c>
      <c r="I31" s="118">
        <f t="shared" si="6"/>
        <v>71.009</v>
      </c>
      <c r="J31" s="118">
        <f t="shared" si="6"/>
        <v>92.71300000000001</v>
      </c>
      <c r="K31" s="118">
        <f t="shared" si="6"/>
        <v>103.60000000000001</v>
      </c>
      <c r="L31" s="118">
        <f>L34+L36+L39</f>
        <v>79.619</v>
      </c>
      <c r="M31" s="118">
        <f t="shared" si="6"/>
        <v>88.77</v>
      </c>
      <c r="N31" s="118">
        <f t="shared" si="6"/>
        <v>92.7</v>
      </c>
      <c r="O31" s="142">
        <f t="shared" si="6"/>
        <v>92.8</v>
      </c>
    </row>
    <row r="32" spans="1:15" ht="22.5">
      <c r="A32" s="107"/>
      <c r="B32" s="108" t="s">
        <v>270</v>
      </c>
      <c r="C32" s="126"/>
      <c r="D32" s="126">
        <f aca="true" t="shared" si="7" ref="D32:J32">SUM(D31/C31*100)</f>
        <v>195.1549568054129</v>
      </c>
      <c r="E32" s="126">
        <f t="shared" si="7"/>
        <v>163.72585438335813</v>
      </c>
      <c r="F32" s="126">
        <f t="shared" si="7"/>
        <v>127.60824352429572</v>
      </c>
      <c r="G32" s="126">
        <f t="shared" si="7"/>
        <v>95.2320274995555</v>
      </c>
      <c r="H32" s="126">
        <f t="shared" si="7"/>
        <v>107.111740361577</v>
      </c>
      <c r="I32" s="143">
        <f t="shared" si="7"/>
        <v>103.14329290435036</v>
      </c>
      <c r="J32" s="143">
        <f t="shared" si="7"/>
        <v>130.56513963018773</v>
      </c>
      <c r="K32" s="135">
        <f>SUM((K31/J31)*100)</f>
        <v>111.74268980617606</v>
      </c>
      <c r="L32" s="135">
        <f>SUM((L31/K31)*100)</f>
        <v>76.85231660231659</v>
      </c>
      <c r="M32" s="135">
        <f>SUM((M31/L31)*100)</f>
        <v>111.49348773533956</v>
      </c>
      <c r="N32" s="144">
        <f>SUM(N31/M31*100)</f>
        <v>104.4271713416695</v>
      </c>
      <c r="O32" s="145">
        <f>SUM(O31/N31*100)</f>
        <v>100.10787486515642</v>
      </c>
    </row>
    <row r="33" spans="1:15" ht="12.75">
      <c r="A33" s="391" t="s">
        <v>285</v>
      </c>
      <c r="B33" s="387"/>
      <c r="C33" s="387"/>
      <c r="D33" s="387"/>
      <c r="E33" s="387"/>
      <c r="F33" s="387"/>
      <c r="G33" s="387"/>
      <c r="H33" s="387"/>
      <c r="I33" s="387"/>
      <c r="J33" s="387"/>
      <c r="K33" s="387"/>
      <c r="L33" s="387"/>
      <c r="M33" s="387"/>
      <c r="N33" s="387"/>
      <c r="O33" s="388"/>
    </row>
    <row r="34" spans="1:15" ht="12.75">
      <c r="A34" s="146" t="s">
        <v>286</v>
      </c>
      <c r="B34" s="147" t="s">
        <v>274</v>
      </c>
      <c r="C34" s="148">
        <f>3.347+6.669+5.35</f>
        <v>15.366</v>
      </c>
      <c r="D34" s="148">
        <f>11.488+12.184+8.1</f>
        <v>31.772</v>
      </c>
      <c r="E34" s="148">
        <f>8.945+13.078+20.346</f>
        <v>42.369</v>
      </c>
      <c r="F34" s="148">
        <f>20.038+14.913+23.332</f>
        <v>58.283</v>
      </c>
      <c r="G34" s="148">
        <f>27.952+6.418+14.505</f>
        <v>48.87500000000001</v>
      </c>
      <c r="H34" s="148">
        <v>50.9</v>
      </c>
      <c r="I34" s="148">
        <v>54.109</v>
      </c>
      <c r="J34" s="148">
        <v>74.712</v>
      </c>
      <c r="K34" s="148">
        <v>87</v>
      </c>
      <c r="L34" s="148">
        <v>61.619</v>
      </c>
      <c r="M34" s="148">
        <v>69.67</v>
      </c>
      <c r="N34" s="148">
        <v>72</v>
      </c>
      <c r="O34" s="149">
        <v>72</v>
      </c>
    </row>
    <row r="35" spans="1:15" ht="24">
      <c r="A35" s="150"/>
      <c r="B35" s="147" t="s">
        <v>287</v>
      </c>
      <c r="C35" s="151"/>
      <c r="D35" s="152">
        <f aca="true" t="shared" si="8" ref="D35:J35">SUM(D34/C34*100)</f>
        <v>206.76818950930627</v>
      </c>
      <c r="E35" s="152">
        <f t="shared" si="8"/>
        <v>133.35326702757143</v>
      </c>
      <c r="F35" s="152">
        <f t="shared" si="8"/>
        <v>137.56048054001747</v>
      </c>
      <c r="G35" s="152">
        <f t="shared" si="8"/>
        <v>83.85807182197212</v>
      </c>
      <c r="H35" s="152">
        <f t="shared" si="8"/>
        <v>104.14322250639385</v>
      </c>
      <c r="I35" s="152">
        <f t="shared" si="8"/>
        <v>106.30451866404715</v>
      </c>
      <c r="J35" s="153">
        <f t="shared" si="8"/>
        <v>138.0768448871722</v>
      </c>
      <c r="K35" s="135">
        <f>SUM((K34/J34)*100)</f>
        <v>116.44715708319949</v>
      </c>
      <c r="L35" s="135">
        <f>SUM((L34/K34)*100)</f>
        <v>70.82643678160919</v>
      </c>
      <c r="M35" s="135">
        <f>SUM((M34/L34)*100)</f>
        <v>113.06577516675051</v>
      </c>
      <c r="N35" s="153">
        <f>SUM(N34/M34*100)</f>
        <v>103.34433759150279</v>
      </c>
      <c r="O35" s="154">
        <f>SUM(O34/N34*100)</f>
        <v>100</v>
      </c>
    </row>
    <row r="36" spans="1:15" ht="12.75">
      <c r="A36" s="155" t="s">
        <v>288</v>
      </c>
      <c r="B36" s="147" t="s">
        <v>274</v>
      </c>
      <c r="C36" s="156">
        <f>0.109+0.011+0.414</f>
        <v>0.534</v>
      </c>
      <c r="D36" s="157">
        <f>0.29</f>
        <v>0.29</v>
      </c>
      <c r="E36" s="157">
        <v>10.467</v>
      </c>
      <c r="F36" s="157">
        <v>9.083</v>
      </c>
      <c r="G36" s="157">
        <v>14.564</v>
      </c>
      <c r="H36" s="157">
        <v>16.64</v>
      </c>
      <c r="I36" s="157">
        <v>15.8</v>
      </c>
      <c r="J36" s="157">
        <v>16.701</v>
      </c>
      <c r="K36" s="157">
        <v>15.4</v>
      </c>
      <c r="L36" s="157">
        <v>16.5</v>
      </c>
      <c r="M36" s="158">
        <v>17.5</v>
      </c>
      <c r="N36" s="157">
        <v>19</v>
      </c>
      <c r="O36" s="159">
        <v>19</v>
      </c>
    </row>
    <row r="37" spans="1:15" ht="22.5">
      <c r="A37" s="160"/>
      <c r="B37" s="108" t="s">
        <v>289</v>
      </c>
      <c r="C37" s="161"/>
      <c r="D37" s="162">
        <v>0</v>
      </c>
      <c r="E37" s="162">
        <v>0</v>
      </c>
      <c r="F37" s="153">
        <f aca="true" t="shared" si="9" ref="F37:O37">SUM(F36/E36*100)</f>
        <v>86.77749116270182</v>
      </c>
      <c r="G37" s="153">
        <f t="shared" si="9"/>
        <v>160.34349884399427</v>
      </c>
      <c r="H37" s="153">
        <f t="shared" si="9"/>
        <v>114.25432573468828</v>
      </c>
      <c r="I37" s="153">
        <f>SUM(I36/H36*100)</f>
        <v>94.95192307692307</v>
      </c>
      <c r="J37" s="153">
        <f>SUM(J36/I36*100)</f>
        <v>105.70253164556962</v>
      </c>
      <c r="K37" s="135">
        <f>SUM((K36/J36)*100)</f>
        <v>92.21004730255673</v>
      </c>
      <c r="L37" s="135">
        <f>SUM((L36/K36)*100)</f>
        <v>107.14285714285714</v>
      </c>
      <c r="M37" s="135">
        <f>SUM((M36/L36)*100)</f>
        <v>106.06060606060606</v>
      </c>
      <c r="N37" s="153">
        <f t="shared" si="9"/>
        <v>108.57142857142857</v>
      </c>
      <c r="O37" s="154">
        <f t="shared" si="9"/>
        <v>100</v>
      </c>
    </row>
    <row r="38" spans="1:15" ht="12.75">
      <c r="A38" s="146" t="s">
        <v>290</v>
      </c>
      <c r="B38" s="147"/>
      <c r="C38" s="151"/>
      <c r="D38" s="151"/>
      <c r="E38" s="163"/>
      <c r="F38" s="163"/>
      <c r="G38" s="163"/>
      <c r="H38" s="163"/>
      <c r="I38" s="163"/>
      <c r="J38" s="163"/>
      <c r="K38" s="163"/>
      <c r="L38" s="163"/>
      <c r="M38" s="164"/>
      <c r="N38" s="164"/>
      <c r="O38" s="165"/>
    </row>
    <row r="39" spans="1:15" ht="12.75">
      <c r="A39" s="150" t="s">
        <v>267</v>
      </c>
      <c r="B39" s="147" t="s">
        <v>274</v>
      </c>
      <c r="C39" s="166">
        <v>0.653</v>
      </c>
      <c r="D39" s="166">
        <f>0.152+0.09</f>
        <v>0.242</v>
      </c>
      <c r="E39" s="166">
        <f>0.054</f>
        <v>0.054</v>
      </c>
      <c r="F39" s="166">
        <v>0.126</v>
      </c>
      <c r="G39" s="166">
        <v>0.835</v>
      </c>
      <c r="H39" s="166">
        <v>1.305</v>
      </c>
      <c r="I39" s="166">
        <v>1.1</v>
      </c>
      <c r="J39" s="156">
        <v>1.3</v>
      </c>
      <c r="K39" s="156">
        <v>1.2</v>
      </c>
      <c r="L39" s="156">
        <v>1.5</v>
      </c>
      <c r="M39" s="158">
        <v>1.6</v>
      </c>
      <c r="N39" s="157">
        <v>1.7</v>
      </c>
      <c r="O39" s="159">
        <v>1.8</v>
      </c>
    </row>
    <row r="40" spans="1:15" ht="22.5">
      <c r="A40" s="150"/>
      <c r="B40" s="108" t="s">
        <v>270</v>
      </c>
      <c r="C40" s="167"/>
      <c r="D40" s="167">
        <f>SUM(D39/C39*100)</f>
        <v>37.05972434915773</v>
      </c>
      <c r="E40" s="168">
        <f>SUM(E39/C39*100)</f>
        <v>8.269525267993874</v>
      </c>
      <c r="F40" s="168">
        <f>SUM(F39/D39*100)</f>
        <v>52.066115702479344</v>
      </c>
      <c r="G40" s="168">
        <f aca="true" t="shared" si="10" ref="G40:O40">SUM(G39/F39*100)</f>
        <v>662.6984126984127</v>
      </c>
      <c r="H40" s="168">
        <f t="shared" si="10"/>
        <v>156.2874251497006</v>
      </c>
      <c r="I40" s="168">
        <f>SUM(I39/H39*100)</f>
        <v>84.29118773946361</v>
      </c>
      <c r="J40" s="169">
        <f>SUM(J39/I39*100)</f>
        <v>118.18181818181816</v>
      </c>
      <c r="K40" s="135">
        <f>SUM((K39/J39)*100)</f>
        <v>92.3076923076923</v>
      </c>
      <c r="L40" s="135">
        <f>SUM((L39/K39)*100)</f>
        <v>125</v>
      </c>
      <c r="M40" s="135">
        <f>SUM((M39/L39)*100)</f>
        <v>106.66666666666667</v>
      </c>
      <c r="N40" s="169">
        <f t="shared" si="10"/>
        <v>106.25</v>
      </c>
      <c r="O40" s="170">
        <f t="shared" si="10"/>
        <v>105.88235294117648</v>
      </c>
    </row>
    <row r="41" spans="1:15" ht="22.5">
      <c r="A41" s="171" t="s">
        <v>291</v>
      </c>
      <c r="B41" s="172" t="s">
        <v>292</v>
      </c>
      <c r="C41" s="173">
        <v>4</v>
      </c>
      <c r="D41" s="173">
        <v>4</v>
      </c>
      <c r="E41" s="173">
        <v>4</v>
      </c>
      <c r="F41" s="173">
        <v>4</v>
      </c>
      <c r="G41" s="174">
        <f>G43+G44</f>
        <v>4</v>
      </c>
      <c r="H41" s="174">
        <v>4</v>
      </c>
      <c r="I41" s="174">
        <f aca="true" t="shared" si="11" ref="I41:O41">I43+I44</f>
        <v>4</v>
      </c>
      <c r="J41" s="174">
        <f t="shared" si="11"/>
        <v>4</v>
      </c>
      <c r="K41" s="174">
        <f t="shared" si="11"/>
        <v>4</v>
      </c>
      <c r="L41" s="174">
        <f>L43+L44</f>
        <v>4</v>
      </c>
      <c r="M41" s="174">
        <f t="shared" si="11"/>
        <v>4</v>
      </c>
      <c r="N41" s="174">
        <f t="shared" si="11"/>
        <v>4</v>
      </c>
      <c r="O41" s="175">
        <f t="shared" si="11"/>
        <v>4</v>
      </c>
    </row>
    <row r="42" spans="1:15" ht="12.75">
      <c r="A42" s="391" t="s">
        <v>285</v>
      </c>
      <c r="B42" s="387"/>
      <c r="C42" s="387"/>
      <c r="D42" s="387"/>
      <c r="E42" s="387"/>
      <c r="F42" s="387"/>
      <c r="G42" s="387"/>
      <c r="H42" s="387"/>
      <c r="I42" s="387"/>
      <c r="J42" s="387"/>
      <c r="K42" s="387"/>
      <c r="L42" s="387"/>
      <c r="M42" s="387"/>
      <c r="N42" s="387"/>
      <c r="O42" s="388"/>
    </row>
    <row r="43" spans="1:15" ht="12.75">
      <c r="A43" s="107" t="s">
        <v>293</v>
      </c>
      <c r="B43" s="108" t="s">
        <v>292</v>
      </c>
      <c r="C43" s="173">
        <v>3</v>
      </c>
      <c r="D43" s="173">
        <v>3</v>
      </c>
      <c r="E43" s="173">
        <v>3</v>
      </c>
      <c r="F43" s="173">
        <v>3</v>
      </c>
      <c r="G43" s="173">
        <v>3</v>
      </c>
      <c r="H43" s="173">
        <v>3</v>
      </c>
      <c r="I43" s="173">
        <v>3</v>
      </c>
      <c r="J43" s="173">
        <v>3</v>
      </c>
      <c r="K43" s="173">
        <v>3</v>
      </c>
      <c r="L43" s="173">
        <v>3</v>
      </c>
      <c r="M43" s="173">
        <v>3</v>
      </c>
      <c r="N43" s="173">
        <v>3</v>
      </c>
      <c r="O43" s="176">
        <v>3</v>
      </c>
    </row>
    <row r="44" spans="1:15" ht="12.75">
      <c r="A44" s="177" t="s">
        <v>294</v>
      </c>
      <c r="B44" s="108" t="s">
        <v>292</v>
      </c>
      <c r="C44" s="173">
        <v>1</v>
      </c>
      <c r="D44" s="173">
        <v>1</v>
      </c>
      <c r="E44" s="173">
        <v>1</v>
      </c>
      <c r="F44" s="173">
        <v>1</v>
      </c>
      <c r="G44" s="173">
        <v>1</v>
      </c>
      <c r="H44" s="173">
        <v>1</v>
      </c>
      <c r="I44" s="173">
        <v>1</v>
      </c>
      <c r="J44" s="173">
        <v>1</v>
      </c>
      <c r="K44" s="173">
        <v>1</v>
      </c>
      <c r="L44" s="173">
        <v>1</v>
      </c>
      <c r="M44" s="173">
        <v>1</v>
      </c>
      <c r="N44" s="173">
        <v>1</v>
      </c>
      <c r="O44" s="176">
        <v>1</v>
      </c>
    </row>
    <row r="45" spans="1:15" ht="12.75">
      <c r="A45" s="177" t="s">
        <v>295</v>
      </c>
      <c r="B45" s="108" t="s">
        <v>292</v>
      </c>
      <c r="C45" s="178" t="s">
        <v>296</v>
      </c>
      <c r="D45" s="178" t="s">
        <v>296</v>
      </c>
      <c r="E45" s="179" t="s">
        <v>296</v>
      </c>
      <c r="F45" s="179" t="s">
        <v>296</v>
      </c>
      <c r="G45" s="180" t="s">
        <v>296</v>
      </c>
      <c r="H45" s="180" t="s">
        <v>296</v>
      </c>
      <c r="I45" s="180" t="s">
        <v>296</v>
      </c>
      <c r="J45" s="180" t="s">
        <v>296</v>
      </c>
      <c r="K45" s="180" t="s">
        <v>296</v>
      </c>
      <c r="L45" s="180" t="s">
        <v>296</v>
      </c>
      <c r="M45" s="180" t="s">
        <v>296</v>
      </c>
      <c r="N45" s="180" t="s">
        <v>296</v>
      </c>
      <c r="O45" s="181" t="s">
        <v>296</v>
      </c>
    </row>
    <row r="46" spans="1:15" ht="15.75" customHeight="1">
      <c r="A46" s="386" t="s">
        <v>297</v>
      </c>
      <c r="B46" s="387"/>
      <c r="C46" s="387"/>
      <c r="D46" s="387"/>
      <c r="E46" s="387"/>
      <c r="F46" s="387"/>
      <c r="G46" s="387"/>
      <c r="H46" s="387"/>
      <c r="I46" s="387"/>
      <c r="J46" s="387"/>
      <c r="K46" s="387"/>
      <c r="L46" s="387"/>
      <c r="M46" s="387"/>
      <c r="N46" s="387"/>
      <c r="O46" s="388"/>
    </row>
    <row r="47" spans="1:15" ht="22.5">
      <c r="A47" s="107" t="s">
        <v>298</v>
      </c>
      <c r="B47" s="108" t="s">
        <v>299</v>
      </c>
      <c r="C47" s="182">
        <v>3.17</v>
      </c>
      <c r="D47" s="182">
        <v>3.17</v>
      </c>
      <c r="E47" s="182">
        <v>3.17</v>
      </c>
      <c r="F47" s="182">
        <v>3.17</v>
      </c>
      <c r="G47" s="182">
        <v>3.17</v>
      </c>
      <c r="H47" s="183">
        <v>3.17</v>
      </c>
      <c r="I47" s="183">
        <v>3.17</v>
      </c>
      <c r="J47" s="183">
        <v>3.17</v>
      </c>
      <c r="K47" s="183">
        <v>3.17</v>
      </c>
      <c r="L47" s="183">
        <v>3.17</v>
      </c>
      <c r="M47" s="183">
        <v>3.17</v>
      </c>
      <c r="N47" s="183">
        <v>3.17</v>
      </c>
      <c r="O47" s="184">
        <v>3.17</v>
      </c>
    </row>
    <row r="48" spans="1:15" ht="15.75" customHeight="1">
      <c r="A48" s="386" t="s">
        <v>300</v>
      </c>
      <c r="B48" s="387"/>
      <c r="C48" s="387"/>
      <c r="D48" s="387"/>
      <c r="E48" s="387"/>
      <c r="F48" s="387"/>
      <c r="G48" s="387"/>
      <c r="H48" s="387"/>
      <c r="I48" s="387"/>
      <c r="J48" s="387"/>
      <c r="K48" s="387"/>
      <c r="L48" s="387"/>
      <c r="M48" s="387"/>
      <c r="N48" s="387"/>
      <c r="O48" s="388"/>
    </row>
    <row r="49" spans="1:15" ht="21">
      <c r="A49" s="185" t="s">
        <v>301</v>
      </c>
      <c r="B49" s="172" t="s">
        <v>292</v>
      </c>
      <c r="C49" s="186">
        <v>17</v>
      </c>
      <c r="D49" s="187">
        <v>17</v>
      </c>
      <c r="E49" s="186">
        <f aca="true" t="shared" si="12" ref="E49:O49">E51+E52+E53+E54</f>
        <v>25</v>
      </c>
      <c r="F49" s="186">
        <f t="shared" si="12"/>
        <v>28</v>
      </c>
      <c r="G49" s="186">
        <f t="shared" si="12"/>
        <v>35</v>
      </c>
      <c r="H49" s="186">
        <f t="shared" si="12"/>
        <v>35</v>
      </c>
      <c r="I49" s="188">
        <f t="shared" si="12"/>
        <v>39</v>
      </c>
      <c r="J49" s="188">
        <f t="shared" si="12"/>
        <v>42</v>
      </c>
      <c r="K49" s="188">
        <f t="shared" si="12"/>
        <v>44</v>
      </c>
      <c r="L49" s="188">
        <f t="shared" si="12"/>
        <v>44</v>
      </c>
      <c r="M49" s="188">
        <f t="shared" si="12"/>
        <v>46</v>
      </c>
      <c r="N49" s="188">
        <f t="shared" si="12"/>
        <v>48</v>
      </c>
      <c r="O49" s="189">
        <f t="shared" si="12"/>
        <v>48</v>
      </c>
    </row>
    <row r="50" spans="1:15" ht="12.75">
      <c r="A50" s="397" t="s">
        <v>302</v>
      </c>
      <c r="B50" s="387"/>
      <c r="C50" s="387"/>
      <c r="D50" s="387"/>
      <c r="E50" s="387"/>
      <c r="F50" s="387"/>
      <c r="G50" s="387"/>
      <c r="H50" s="387"/>
      <c r="I50" s="387"/>
      <c r="J50" s="387"/>
      <c r="K50" s="387"/>
      <c r="L50" s="387"/>
      <c r="M50" s="387"/>
      <c r="N50" s="387"/>
      <c r="O50" s="388"/>
    </row>
    <row r="51" spans="1:15" ht="12.75">
      <c r="A51" s="190" t="s">
        <v>303</v>
      </c>
      <c r="B51" s="108" t="s">
        <v>292</v>
      </c>
      <c r="C51" s="191">
        <v>4</v>
      </c>
      <c r="D51" s="192">
        <v>3</v>
      </c>
      <c r="E51" s="192">
        <v>4</v>
      </c>
      <c r="F51" s="192">
        <v>4</v>
      </c>
      <c r="G51" s="192">
        <v>4</v>
      </c>
      <c r="H51" s="192">
        <v>4</v>
      </c>
      <c r="I51" s="192">
        <v>4</v>
      </c>
      <c r="J51" s="192">
        <v>4</v>
      </c>
      <c r="K51" s="192">
        <v>4</v>
      </c>
      <c r="L51" s="192">
        <v>4</v>
      </c>
      <c r="M51" s="192">
        <v>4</v>
      </c>
      <c r="N51" s="192">
        <v>4</v>
      </c>
      <c r="O51" s="193">
        <v>4</v>
      </c>
    </row>
    <row r="52" spans="1:15" ht="12.75">
      <c r="A52" s="190" t="s">
        <v>304</v>
      </c>
      <c r="B52" s="108" t="s">
        <v>292</v>
      </c>
      <c r="C52" s="191">
        <v>12</v>
      </c>
      <c r="D52" s="192">
        <v>13</v>
      </c>
      <c r="E52" s="192">
        <v>17</v>
      </c>
      <c r="F52" s="192">
        <v>22</v>
      </c>
      <c r="G52" s="192">
        <v>29</v>
      </c>
      <c r="H52" s="192">
        <v>29</v>
      </c>
      <c r="I52" s="192">
        <v>30</v>
      </c>
      <c r="J52" s="192">
        <v>30</v>
      </c>
      <c r="K52" s="192">
        <v>31</v>
      </c>
      <c r="L52" s="192">
        <v>31</v>
      </c>
      <c r="M52" s="192">
        <v>32</v>
      </c>
      <c r="N52" s="192">
        <v>33</v>
      </c>
      <c r="O52" s="193">
        <v>33</v>
      </c>
    </row>
    <row r="53" spans="1:15" ht="12.75">
      <c r="A53" s="190" t="s">
        <v>305</v>
      </c>
      <c r="B53" s="108" t="s">
        <v>292</v>
      </c>
      <c r="C53" s="194">
        <v>0</v>
      </c>
      <c r="D53" s="194">
        <v>0</v>
      </c>
      <c r="E53" s="194">
        <v>3</v>
      </c>
      <c r="F53" s="194">
        <v>2</v>
      </c>
      <c r="G53" s="194">
        <v>2</v>
      </c>
      <c r="H53" s="194">
        <v>2</v>
      </c>
      <c r="I53" s="194">
        <v>5</v>
      </c>
      <c r="J53" s="194">
        <v>8</v>
      </c>
      <c r="K53" s="194">
        <v>9</v>
      </c>
      <c r="L53" s="194">
        <v>9</v>
      </c>
      <c r="M53" s="194">
        <v>10</v>
      </c>
      <c r="N53" s="194">
        <v>11</v>
      </c>
      <c r="O53" s="195">
        <v>11</v>
      </c>
    </row>
    <row r="54" spans="1:15" ht="12.75">
      <c r="A54" s="190" t="s">
        <v>306</v>
      </c>
      <c r="B54" s="108" t="s">
        <v>292</v>
      </c>
      <c r="C54" s="196">
        <v>1</v>
      </c>
      <c r="D54" s="192">
        <v>1</v>
      </c>
      <c r="E54" s="192">
        <v>1</v>
      </c>
      <c r="F54" s="192"/>
      <c r="G54" s="192"/>
      <c r="H54" s="192">
        <v>0</v>
      </c>
      <c r="I54" s="192"/>
      <c r="J54" s="192"/>
      <c r="K54" s="192"/>
      <c r="L54" s="192"/>
      <c r="M54" s="192"/>
      <c r="N54" s="192"/>
      <c r="O54" s="193"/>
    </row>
    <row r="55" spans="1:15" ht="21">
      <c r="A55" s="197" t="s">
        <v>307</v>
      </c>
      <c r="B55" s="108" t="s">
        <v>308</v>
      </c>
      <c r="C55" s="198">
        <f>SUM(C57:C60)</f>
        <v>204</v>
      </c>
      <c r="D55" s="186">
        <f aca="true" t="shared" si="13" ref="D55:O55">D57+D58+D59+D60</f>
        <v>203</v>
      </c>
      <c r="E55" s="186">
        <f t="shared" si="13"/>
        <v>231</v>
      </c>
      <c r="F55" s="186">
        <f>F57+F58+F59+F60</f>
        <v>244</v>
      </c>
      <c r="G55" s="186">
        <f t="shared" si="13"/>
        <v>250</v>
      </c>
      <c r="H55" s="186">
        <f t="shared" si="13"/>
        <v>260</v>
      </c>
      <c r="I55" s="186">
        <f>I57+I58+I59+I60</f>
        <v>267</v>
      </c>
      <c r="J55" s="188">
        <f t="shared" si="13"/>
        <v>261</v>
      </c>
      <c r="K55" s="188">
        <f t="shared" si="13"/>
        <v>256</v>
      </c>
      <c r="L55" s="188">
        <f>L57+L58+L59+L60</f>
        <v>258</v>
      </c>
      <c r="M55" s="188">
        <f t="shared" si="13"/>
        <v>265</v>
      </c>
      <c r="N55" s="188">
        <f t="shared" si="13"/>
        <v>266</v>
      </c>
      <c r="O55" s="189">
        <f t="shared" si="13"/>
        <v>266</v>
      </c>
    </row>
    <row r="56" spans="1:15" ht="12.75">
      <c r="A56" s="391" t="s">
        <v>285</v>
      </c>
      <c r="B56" s="387"/>
      <c r="C56" s="387"/>
      <c r="D56" s="387"/>
      <c r="E56" s="387"/>
      <c r="F56" s="387"/>
      <c r="G56" s="387"/>
      <c r="H56" s="387"/>
      <c r="I56" s="387"/>
      <c r="J56" s="387"/>
      <c r="K56" s="387"/>
      <c r="L56" s="387"/>
      <c r="M56" s="387"/>
      <c r="N56" s="387"/>
      <c r="O56" s="388"/>
    </row>
    <row r="57" spans="1:15" ht="12.75">
      <c r="A57" s="190" t="s">
        <v>303</v>
      </c>
      <c r="B57" s="108" t="s">
        <v>308</v>
      </c>
      <c r="C57" s="196">
        <v>57</v>
      </c>
      <c r="D57" s="199">
        <v>52</v>
      </c>
      <c r="E57" s="199">
        <f>7+11+16+15</f>
        <v>49</v>
      </c>
      <c r="F57" s="199">
        <f>14+21+7+7</f>
        <v>49</v>
      </c>
      <c r="G57" s="199">
        <f>21+2+6+6</f>
        <v>35</v>
      </c>
      <c r="H57" s="199">
        <v>28</v>
      </c>
      <c r="I57" s="199">
        <v>30</v>
      </c>
      <c r="J57" s="199">
        <v>20</v>
      </c>
      <c r="K57" s="199">
        <v>20</v>
      </c>
      <c r="L57" s="199">
        <v>18</v>
      </c>
      <c r="M57" s="199">
        <v>19</v>
      </c>
      <c r="N57" s="199">
        <v>20</v>
      </c>
      <c r="O57" s="200">
        <v>20</v>
      </c>
    </row>
    <row r="58" spans="1:15" ht="12.75">
      <c r="A58" s="190" t="s">
        <v>304</v>
      </c>
      <c r="B58" s="108" t="s">
        <v>308</v>
      </c>
      <c r="C58" s="196">
        <v>139</v>
      </c>
      <c r="D58" s="196">
        <v>143</v>
      </c>
      <c r="E58" s="196">
        <f>8+8+8+17+32+13+3+25+12*8/3+23</f>
        <v>169</v>
      </c>
      <c r="F58" s="196">
        <v>189</v>
      </c>
      <c r="G58" s="196">
        <v>200</v>
      </c>
      <c r="H58" s="196">
        <v>218</v>
      </c>
      <c r="I58" s="196">
        <v>221</v>
      </c>
      <c r="J58" s="196">
        <v>221</v>
      </c>
      <c r="K58" s="196">
        <v>219</v>
      </c>
      <c r="L58" s="196">
        <v>222</v>
      </c>
      <c r="M58" s="196">
        <v>226</v>
      </c>
      <c r="N58" s="196">
        <v>226</v>
      </c>
      <c r="O58" s="201">
        <v>226</v>
      </c>
    </row>
    <row r="59" spans="1:15" ht="12.75">
      <c r="A59" s="190" t="s">
        <v>305</v>
      </c>
      <c r="B59" s="108" t="s">
        <v>308</v>
      </c>
      <c r="C59" s="202" t="s">
        <v>296</v>
      </c>
      <c r="D59" s="202">
        <v>0</v>
      </c>
      <c r="E59" s="202">
        <v>1</v>
      </c>
      <c r="F59" s="202">
        <v>6</v>
      </c>
      <c r="G59" s="202">
        <f>10+5</f>
        <v>15</v>
      </c>
      <c r="H59" s="202">
        <v>14</v>
      </c>
      <c r="I59" s="202">
        <v>16</v>
      </c>
      <c r="J59" s="202">
        <v>20</v>
      </c>
      <c r="K59" s="202">
        <v>17</v>
      </c>
      <c r="L59" s="202">
        <v>18</v>
      </c>
      <c r="M59" s="202">
        <v>20</v>
      </c>
      <c r="N59" s="202">
        <v>20</v>
      </c>
      <c r="O59" s="203">
        <v>20</v>
      </c>
    </row>
    <row r="60" spans="1:15" ht="12.75">
      <c r="A60" s="190" t="s">
        <v>306</v>
      </c>
      <c r="B60" s="108" t="s">
        <v>308</v>
      </c>
      <c r="C60" s="196">
        <v>8</v>
      </c>
      <c r="D60" s="196">
        <v>8</v>
      </c>
      <c r="E60" s="196">
        <f>6+6</f>
        <v>12</v>
      </c>
      <c r="F60" s="196"/>
      <c r="G60" s="196"/>
      <c r="H60" s="196"/>
      <c r="I60" s="196"/>
      <c r="J60" s="196">
        <v>0</v>
      </c>
      <c r="K60" s="196">
        <v>0</v>
      </c>
      <c r="L60" s="196">
        <v>0</v>
      </c>
      <c r="M60" s="196">
        <v>0</v>
      </c>
      <c r="N60" s="196">
        <v>0</v>
      </c>
      <c r="O60" s="201">
        <v>0</v>
      </c>
    </row>
    <row r="61" spans="1:15" ht="12.75">
      <c r="A61" s="391" t="s">
        <v>309</v>
      </c>
      <c r="B61" s="398"/>
      <c r="C61" s="399"/>
      <c r="D61" s="399"/>
      <c r="E61" s="399"/>
      <c r="F61" s="399"/>
      <c r="G61" s="399"/>
      <c r="H61" s="399"/>
      <c r="I61" s="399"/>
      <c r="J61" s="399"/>
      <c r="K61" s="399"/>
      <c r="L61" s="399"/>
      <c r="M61" s="399"/>
      <c r="N61" s="399"/>
      <c r="O61" s="388"/>
    </row>
    <row r="62" spans="1:15" ht="12.75">
      <c r="A62" s="107" t="s">
        <v>267</v>
      </c>
      <c r="B62" s="108" t="s">
        <v>274</v>
      </c>
      <c r="C62" s="130">
        <f aca="true" t="shared" si="14" ref="C62:O62">SUM(C64+C65)</f>
        <v>58.72</v>
      </c>
      <c r="D62" s="130">
        <f t="shared" si="14"/>
        <v>77.98</v>
      </c>
      <c r="E62" s="130">
        <f t="shared" si="14"/>
        <v>88.52100000000002</v>
      </c>
      <c r="F62" s="130">
        <f>SUM(F64+F65)</f>
        <v>77.863</v>
      </c>
      <c r="G62" s="130">
        <f t="shared" si="14"/>
        <v>57.39999999999999</v>
      </c>
      <c r="H62" s="130">
        <f t="shared" si="14"/>
        <v>47.730000000000004</v>
      </c>
      <c r="I62" s="130">
        <f t="shared" si="14"/>
        <v>54.19</v>
      </c>
      <c r="J62" s="130">
        <f t="shared" si="14"/>
        <v>40.88</v>
      </c>
      <c r="K62" s="130">
        <f t="shared" si="14"/>
        <v>50.5</v>
      </c>
      <c r="L62" s="130">
        <f t="shared" si="14"/>
        <v>53.4</v>
      </c>
      <c r="M62" s="130">
        <f t="shared" si="14"/>
        <v>59</v>
      </c>
      <c r="N62" s="130">
        <f t="shared" si="14"/>
        <v>62</v>
      </c>
      <c r="O62" s="132">
        <f t="shared" si="14"/>
        <v>64.5</v>
      </c>
    </row>
    <row r="63" spans="1:15" ht="12.75">
      <c r="A63" s="391" t="s">
        <v>285</v>
      </c>
      <c r="B63" s="387"/>
      <c r="C63" s="387"/>
      <c r="D63" s="387"/>
      <c r="E63" s="387"/>
      <c r="F63" s="387"/>
      <c r="G63" s="387"/>
      <c r="H63" s="387"/>
      <c r="I63" s="387"/>
      <c r="J63" s="387"/>
      <c r="K63" s="387"/>
      <c r="L63" s="387"/>
      <c r="M63" s="387"/>
      <c r="N63" s="387"/>
      <c r="O63" s="388"/>
    </row>
    <row r="64" spans="1:15" ht="12.75">
      <c r="A64" s="107" t="s">
        <v>310</v>
      </c>
      <c r="B64" s="108" t="s">
        <v>274</v>
      </c>
      <c r="C64" s="131">
        <v>50.7</v>
      </c>
      <c r="D64" s="131">
        <v>67.97</v>
      </c>
      <c r="E64" s="131">
        <f>9+8.621+44+7</f>
        <v>68.62100000000001</v>
      </c>
      <c r="F64" s="131">
        <f>6.73+26.9+14+7</f>
        <v>54.629999999999995</v>
      </c>
      <c r="G64" s="131">
        <f>36.8</f>
        <v>36.8</v>
      </c>
      <c r="H64" s="131">
        <v>28.3</v>
      </c>
      <c r="I64" s="131">
        <v>34.13</v>
      </c>
      <c r="J64" s="131">
        <v>20.44</v>
      </c>
      <c r="K64" s="131">
        <v>23</v>
      </c>
      <c r="L64" s="131">
        <v>27</v>
      </c>
      <c r="M64" s="131">
        <v>30</v>
      </c>
      <c r="N64" s="131">
        <v>30</v>
      </c>
      <c r="O64" s="204">
        <v>30</v>
      </c>
    </row>
    <row r="65" spans="1:15" ht="12.75">
      <c r="A65" s="107" t="s">
        <v>311</v>
      </c>
      <c r="B65" s="108" t="s">
        <v>274</v>
      </c>
      <c r="C65" s="131">
        <v>8.02</v>
      </c>
      <c r="D65" s="131">
        <v>10.01</v>
      </c>
      <c r="E65" s="131">
        <f>6.1+10.5+3.3</f>
        <v>19.900000000000002</v>
      </c>
      <c r="F65" s="131">
        <f>8.8+2.77+0.263+9+2.4</f>
        <v>23.232999999999997</v>
      </c>
      <c r="G65" s="131">
        <f>G21</f>
        <v>20.599999999999998</v>
      </c>
      <c r="H65" s="131">
        <f>H21</f>
        <v>19.43</v>
      </c>
      <c r="I65" s="131">
        <f>I21</f>
        <v>20.06</v>
      </c>
      <c r="J65" s="131">
        <v>20.44</v>
      </c>
      <c r="K65" s="131">
        <f>K21</f>
        <v>27.5</v>
      </c>
      <c r="L65" s="131">
        <f>L21</f>
        <v>26.4</v>
      </c>
      <c r="M65" s="131">
        <f>M21</f>
        <v>29</v>
      </c>
      <c r="N65" s="131">
        <f>N21</f>
        <v>32</v>
      </c>
      <c r="O65" s="204">
        <f>O21</f>
        <v>34.5</v>
      </c>
    </row>
    <row r="66" spans="1:15" ht="12.75">
      <c r="A66" s="391" t="s">
        <v>312</v>
      </c>
      <c r="B66" s="400"/>
      <c r="C66" s="387"/>
      <c r="D66" s="387"/>
      <c r="E66" s="387"/>
      <c r="F66" s="387"/>
      <c r="G66" s="387"/>
      <c r="H66" s="387"/>
      <c r="I66" s="387"/>
      <c r="J66" s="387"/>
      <c r="K66" s="387"/>
      <c r="L66" s="387"/>
      <c r="M66" s="387"/>
      <c r="N66" s="387"/>
      <c r="O66" s="388"/>
    </row>
    <row r="67" spans="1:15" ht="12.75">
      <c r="A67" s="107" t="s">
        <v>267</v>
      </c>
      <c r="B67" s="108" t="s">
        <v>274</v>
      </c>
      <c r="C67" s="202">
        <v>162.32</v>
      </c>
      <c r="D67" s="129">
        <v>335.3</v>
      </c>
      <c r="E67" s="129">
        <f>25.8*2+31+147.047+40.6+9.8+121+25.8*12/3</f>
        <v>504.247</v>
      </c>
      <c r="F67" s="129">
        <v>568.36</v>
      </c>
      <c r="G67" s="129">
        <v>589.1</v>
      </c>
      <c r="H67" s="129">
        <v>612.07</v>
      </c>
      <c r="I67" s="129">
        <v>630</v>
      </c>
      <c r="J67" s="205">
        <v>714</v>
      </c>
      <c r="K67" s="205">
        <v>730</v>
      </c>
      <c r="L67" s="205">
        <v>746</v>
      </c>
      <c r="M67" s="205">
        <f>L67*101.3%</f>
        <v>755.698</v>
      </c>
      <c r="N67" s="205">
        <f>M67*102.1%</f>
        <v>771.5676579999999</v>
      </c>
      <c r="O67" s="206">
        <f>N67*102.1%</f>
        <v>787.7705788179999</v>
      </c>
    </row>
    <row r="68" spans="1:15" ht="12.75">
      <c r="A68" s="391" t="s">
        <v>313</v>
      </c>
      <c r="B68" s="400"/>
      <c r="C68" s="387"/>
      <c r="D68" s="387"/>
      <c r="E68" s="387"/>
      <c r="F68" s="387"/>
      <c r="G68" s="387"/>
      <c r="H68" s="387"/>
      <c r="I68" s="387"/>
      <c r="J68" s="387"/>
      <c r="K68" s="387"/>
      <c r="L68" s="387"/>
      <c r="M68" s="387"/>
      <c r="N68" s="387"/>
      <c r="O68" s="388"/>
    </row>
    <row r="69" spans="1:15" ht="12.75">
      <c r="A69" s="107" t="s">
        <v>267</v>
      </c>
      <c r="B69" s="108" t="s">
        <v>274</v>
      </c>
      <c r="C69" s="129">
        <v>0.152</v>
      </c>
      <c r="D69" s="129">
        <v>3.85</v>
      </c>
      <c r="E69" s="202">
        <v>3.69</v>
      </c>
      <c r="F69" s="202">
        <v>9.9</v>
      </c>
      <c r="G69" s="202">
        <v>29.75</v>
      </c>
      <c r="H69" s="202">
        <v>35.2</v>
      </c>
      <c r="I69" s="202">
        <v>17.6</v>
      </c>
      <c r="J69" s="202">
        <v>23.9</v>
      </c>
      <c r="K69" s="202">
        <v>21.6</v>
      </c>
      <c r="L69" s="202">
        <v>23</v>
      </c>
      <c r="M69" s="205">
        <f>L69*103.6%</f>
        <v>23.828</v>
      </c>
      <c r="N69" s="205">
        <f>M69*103.8%</f>
        <v>24.733464</v>
      </c>
      <c r="O69" s="205">
        <f>N69*104%</f>
        <v>25.72280256</v>
      </c>
    </row>
    <row r="70" spans="1:15" ht="15.75" customHeight="1">
      <c r="A70" s="386" t="s">
        <v>314</v>
      </c>
      <c r="B70" s="387"/>
      <c r="C70" s="387"/>
      <c r="D70" s="387"/>
      <c r="E70" s="387"/>
      <c r="F70" s="387"/>
      <c r="G70" s="387"/>
      <c r="H70" s="387"/>
      <c r="I70" s="387"/>
      <c r="J70" s="387"/>
      <c r="K70" s="387"/>
      <c r="L70" s="387"/>
      <c r="M70" s="387"/>
      <c r="N70" s="387"/>
      <c r="O70" s="388"/>
    </row>
    <row r="71" spans="1:15" ht="22.5">
      <c r="A71" s="117" t="s">
        <v>615</v>
      </c>
      <c r="B71" s="108" t="s">
        <v>274</v>
      </c>
      <c r="C71" s="362"/>
      <c r="D71" s="362"/>
      <c r="E71" s="362"/>
      <c r="F71" s="362"/>
      <c r="G71" s="362"/>
      <c r="H71" s="362"/>
      <c r="I71" s="362"/>
      <c r="J71" s="362"/>
      <c r="K71" s="362">
        <v>0</v>
      </c>
      <c r="L71" s="363">
        <v>128</v>
      </c>
      <c r="M71" s="362">
        <v>0</v>
      </c>
      <c r="N71" s="362">
        <v>0</v>
      </c>
      <c r="O71" s="364">
        <v>0</v>
      </c>
    </row>
    <row r="72" spans="1:15" ht="13.5" customHeight="1">
      <c r="A72" s="391" t="s">
        <v>315</v>
      </c>
      <c r="B72" s="387"/>
      <c r="C72" s="387"/>
      <c r="D72" s="387"/>
      <c r="E72" s="387"/>
      <c r="F72" s="387"/>
      <c r="G72" s="387"/>
      <c r="H72" s="387"/>
      <c r="I72" s="387"/>
      <c r="J72" s="387"/>
      <c r="K72" s="387"/>
      <c r="L72" s="387"/>
      <c r="M72" s="387"/>
      <c r="N72" s="387"/>
      <c r="O72" s="388"/>
    </row>
    <row r="73" spans="1:15" ht="12.75">
      <c r="A73" s="117" t="s">
        <v>316</v>
      </c>
      <c r="B73" s="108" t="s">
        <v>274</v>
      </c>
      <c r="C73" s="207">
        <v>62.37</v>
      </c>
      <c r="D73" s="207">
        <v>72.38</v>
      </c>
      <c r="E73" s="182">
        <v>86.5</v>
      </c>
      <c r="F73" s="182">
        <v>41.2</v>
      </c>
      <c r="G73" s="182">
        <v>71.9</v>
      </c>
      <c r="H73" s="182">
        <v>81.4</v>
      </c>
      <c r="I73" s="182">
        <f>54.3</f>
        <v>54.3</v>
      </c>
      <c r="J73" s="182">
        <v>65.2</v>
      </c>
      <c r="K73" s="182">
        <v>97.8</v>
      </c>
      <c r="L73" s="182">
        <v>88.34</v>
      </c>
      <c r="M73" s="182">
        <v>97.17</v>
      </c>
      <c r="N73" s="138">
        <v>106.89</v>
      </c>
      <c r="O73" s="208">
        <v>117.58</v>
      </c>
    </row>
    <row r="74" spans="1:15" ht="24" customHeight="1">
      <c r="A74" s="107" t="s">
        <v>317</v>
      </c>
      <c r="B74" s="108" t="s">
        <v>274</v>
      </c>
      <c r="C74" s="182">
        <v>40.96</v>
      </c>
      <c r="D74" s="182">
        <v>0</v>
      </c>
      <c r="E74" s="182">
        <v>0.5</v>
      </c>
      <c r="F74" s="182">
        <v>157.7</v>
      </c>
      <c r="G74" s="182">
        <v>127</v>
      </c>
      <c r="H74" s="183">
        <v>72.98</v>
      </c>
      <c r="I74" s="183">
        <v>42.9</v>
      </c>
      <c r="J74" s="183">
        <v>62.7</v>
      </c>
      <c r="K74" s="183">
        <v>92.91</v>
      </c>
      <c r="L74" s="183">
        <v>83.92</v>
      </c>
      <c r="M74" s="183">
        <v>92.31</v>
      </c>
      <c r="N74" s="183">
        <v>101.55</v>
      </c>
      <c r="O74" s="184">
        <v>111.7</v>
      </c>
    </row>
    <row r="75" spans="1:15" ht="15.75" customHeight="1">
      <c r="A75" s="386" t="s">
        <v>318</v>
      </c>
      <c r="B75" s="387"/>
      <c r="C75" s="387"/>
      <c r="D75" s="387"/>
      <c r="E75" s="387"/>
      <c r="F75" s="387"/>
      <c r="G75" s="387"/>
      <c r="H75" s="387"/>
      <c r="I75" s="387"/>
      <c r="J75" s="387"/>
      <c r="K75" s="387"/>
      <c r="L75" s="387"/>
      <c r="M75" s="387"/>
      <c r="N75" s="387"/>
      <c r="O75" s="209"/>
    </row>
    <row r="76" spans="1:15" ht="14.25" customHeight="1">
      <c r="A76" s="210" t="s">
        <v>319</v>
      </c>
      <c r="B76" s="108"/>
      <c r="C76" s="211">
        <f>C77+C93</f>
        <v>3635</v>
      </c>
      <c r="D76" s="211">
        <f>D77+D93+900</f>
        <v>4242</v>
      </c>
      <c r="E76" s="211">
        <f>E77+E93+900</f>
        <v>3661</v>
      </c>
      <c r="F76" s="211">
        <f>F77+F93+900</f>
        <v>3836</v>
      </c>
      <c r="G76" s="207">
        <f>G77+G93+900</f>
        <v>3861</v>
      </c>
      <c r="H76" s="207">
        <f>H77+H93+900</f>
        <v>3736</v>
      </c>
      <c r="I76" s="207">
        <f>I77+I93+700</f>
        <v>3325</v>
      </c>
      <c r="J76" s="207">
        <f>J77+J93+400</f>
        <v>2889</v>
      </c>
      <c r="K76" s="207">
        <f>K77+K93+300</f>
        <v>2883</v>
      </c>
      <c r="L76" s="207">
        <f>L77+L93+300</f>
        <v>2925</v>
      </c>
      <c r="M76" s="207">
        <f>M77+M93+300</f>
        <v>3002</v>
      </c>
      <c r="N76" s="207">
        <f>N77+N93+300</f>
        <v>3002</v>
      </c>
      <c r="O76" s="212">
        <f>O77+O93+300</f>
        <v>3002</v>
      </c>
    </row>
    <row r="77" spans="1:15" ht="12.75">
      <c r="A77" s="210" t="s">
        <v>320</v>
      </c>
      <c r="B77" s="108" t="s">
        <v>308</v>
      </c>
      <c r="C77" s="182">
        <f aca="true" t="shared" si="15" ref="C77:O77">C78+C79+C80+C83+C84+C85+C86+C87+C88+C89+C90+C91+C92</f>
        <v>3492</v>
      </c>
      <c r="D77" s="182">
        <f t="shared" si="15"/>
        <v>3213</v>
      </c>
      <c r="E77" s="182">
        <f t="shared" si="15"/>
        <v>2670</v>
      </c>
      <c r="F77" s="182">
        <f t="shared" si="15"/>
        <v>2800</v>
      </c>
      <c r="G77" s="182">
        <f t="shared" si="15"/>
        <v>2859</v>
      </c>
      <c r="H77" s="182">
        <f t="shared" si="15"/>
        <v>2733</v>
      </c>
      <c r="I77" s="182">
        <f>I78+I79+I80+I83+I84+I85+I86+I87+I88+I89+I90+I91+I92</f>
        <v>2499</v>
      </c>
      <c r="J77" s="182">
        <f t="shared" si="15"/>
        <v>2358</v>
      </c>
      <c r="K77" s="182">
        <f t="shared" si="15"/>
        <v>2477</v>
      </c>
      <c r="L77" s="182">
        <f>L78+L79+L80+L83+L84+L85+L86+L87+L88+L89+L90+L91+L92</f>
        <v>2536</v>
      </c>
      <c r="M77" s="182">
        <f t="shared" si="15"/>
        <v>2622</v>
      </c>
      <c r="N77" s="182">
        <f t="shared" si="15"/>
        <v>2622</v>
      </c>
      <c r="O77" s="213">
        <f t="shared" si="15"/>
        <v>2622</v>
      </c>
    </row>
    <row r="78" spans="1:15" ht="12.75">
      <c r="A78" s="214" t="s">
        <v>321</v>
      </c>
      <c r="B78" s="108" t="s">
        <v>308</v>
      </c>
      <c r="C78" s="182">
        <f>208+130</f>
        <v>338</v>
      </c>
      <c r="D78" s="182">
        <v>320</v>
      </c>
      <c r="E78" s="182">
        <f>127+117</f>
        <v>244</v>
      </c>
      <c r="F78" s="182">
        <f>138+118</f>
        <v>256</v>
      </c>
      <c r="G78" s="182">
        <f>161+126</f>
        <v>287</v>
      </c>
      <c r="H78" s="182">
        <v>290</v>
      </c>
      <c r="I78" s="182">
        <v>255</v>
      </c>
      <c r="J78" s="182">
        <v>244</v>
      </c>
      <c r="K78" s="182">
        <v>285</v>
      </c>
      <c r="L78" s="182">
        <v>286</v>
      </c>
      <c r="M78" s="182">
        <v>286</v>
      </c>
      <c r="N78" s="182">
        <v>286</v>
      </c>
      <c r="O78" s="213">
        <v>286</v>
      </c>
    </row>
    <row r="79" spans="1:15" ht="12.75">
      <c r="A79" s="214" t="s">
        <v>322</v>
      </c>
      <c r="B79" s="108" t="s">
        <v>308</v>
      </c>
      <c r="C79" s="182">
        <f>161</f>
        <v>161</v>
      </c>
      <c r="D79" s="182">
        <v>127</v>
      </c>
      <c r="E79" s="182">
        <f>86</f>
        <v>86</v>
      </c>
      <c r="F79" s="182">
        <v>86</v>
      </c>
      <c r="G79" s="182">
        <v>97</v>
      </c>
      <c r="H79" s="182">
        <v>96</v>
      </c>
      <c r="I79" s="182">
        <v>121</v>
      </c>
      <c r="J79" s="182">
        <v>137</v>
      </c>
      <c r="K79" s="182">
        <v>84</v>
      </c>
      <c r="L79" s="182">
        <v>98</v>
      </c>
      <c r="M79" s="182">
        <v>115</v>
      </c>
      <c r="N79" s="182">
        <v>115</v>
      </c>
      <c r="O79" s="213">
        <v>115</v>
      </c>
    </row>
    <row r="80" spans="1:15" ht="12.75">
      <c r="A80" s="185" t="s">
        <v>323</v>
      </c>
      <c r="B80" s="108" t="s">
        <v>308</v>
      </c>
      <c r="C80" s="182">
        <f>SUM(C81+C82)</f>
        <v>17</v>
      </c>
      <c r="D80" s="182">
        <f>SUM(D81+D82)</f>
        <v>16</v>
      </c>
      <c r="E80" s="182">
        <f>SUM(E81+E82)</f>
        <v>11</v>
      </c>
      <c r="F80" s="182">
        <f>SUM(F81+F82)</f>
        <v>12</v>
      </c>
      <c r="G80" s="182">
        <f>SUM(G81+G82)</f>
        <v>13</v>
      </c>
      <c r="H80" s="182">
        <f>H81+H82</f>
        <v>12</v>
      </c>
      <c r="I80" s="182">
        <f>I81+I82</f>
        <v>10</v>
      </c>
      <c r="J80" s="182">
        <f>J81+J82</f>
        <v>9</v>
      </c>
      <c r="K80" s="182">
        <f>K81+K82</f>
        <v>9</v>
      </c>
      <c r="L80" s="182">
        <f>L81+L82</f>
        <v>9</v>
      </c>
      <c r="M80" s="182">
        <f>SUM(M81+M82)</f>
        <v>11</v>
      </c>
      <c r="N80" s="182">
        <f>SUM(N81+N82)</f>
        <v>11</v>
      </c>
      <c r="O80" s="213">
        <f>SUM(O81+O82)</f>
        <v>11</v>
      </c>
    </row>
    <row r="81" spans="1:15" ht="12.75">
      <c r="A81" s="107" t="s">
        <v>324</v>
      </c>
      <c r="B81" s="108" t="s">
        <v>308</v>
      </c>
      <c r="C81" s="182">
        <v>10</v>
      </c>
      <c r="D81" s="182">
        <v>10</v>
      </c>
      <c r="E81" s="182">
        <v>6</v>
      </c>
      <c r="F81" s="182">
        <v>6</v>
      </c>
      <c r="G81" s="182">
        <v>7</v>
      </c>
      <c r="H81" s="182">
        <v>6</v>
      </c>
      <c r="I81" s="182">
        <v>5</v>
      </c>
      <c r="J81" s="182">
        <v>5</v>
      </c>
      <c r="K81" s="182">
        <v>5</v>
      </c>
      <c r="L81" s="182">
        <v>5</v>
      </c>
      <c r="M81" s="182">
        <v>6</v>
      </c>
      <c r="N81" s="182">
        <v>6</v>
      </c>
      <c r="O81" s="213">
        <v>6</v>
      </c>
    </row>
    <row r="82" spans="1:15" ht="12.75" customHeight="1">
      <c r="A82" s="107" t="s">
        <v>325</v>
      </c>
      <c r="B82" s="108" t="s">
        <v>308</v>
      </c>
      <c r="C82" s="182">
        <v>7</v>
      </c>
      <c r="D82" s="182">
        <v>6</v>
      </c>
      <c r="E82" s="182">
        <v>5</v>
      </c>
      <c r="F82" s="182">
        <v>6</v>
      </c>
      <c r="G82" s="182">
        <v>6</v>
      </c>
      <c r="H82" s="182">
        <v>6</v>
      </c>
      <c r="I82" s="182">
        <v>5</v>
      </c>
      <c r="J82" s="182">
        <v>4</v>
      </c>
      <c r="K82" s="182">
        <v>4</v>
      </c>
      <c r="L82" s="182">
        <v>4</v>
      </c>
      <c r="M82" s="182">
        <v>5</v>
      </c>
      <c r="N82" s="182">
        <v>5</v>
      </c>
      <c r="O82" s="213">
        <v>5</v>
      </c>
    </row>
    <row r="83" spans="1:15" ht="12.75" customHeight="1">
      <c r="A83" s="214" t="s">
        <v>326</v>
      </c>
      <c r="B83" s="108" t="s">
        <v>308</v>
      </c>
      <c r="C83" s="182">
        <f>162+309</f>
        <v>471</v>
      </c>
      <c r="D83" s="182">
        <v>485</v>
      </c>
      <c r="E83" s="182">
        <f>349+106</f>
        <v>455</v>
      </c>
      <c r="F83" s="182">
        <f>352+104</f>
        <v>456</v>
      </c>
      <c r="G83" s="182">
        <v>441</v>
      </c>
      <c r="H83" s="182">
        <v>439</v>
      </c>
      <c r="I83" s="182">
        <v>410</v>
      </c>
      <c r="J83" s="182">
        <v>334</v>
      </c>
      <c r="K83" s="182">
        <v>357</v>
      </c>
      <c r="L83" s="182">
        <v>360</v>
      </c>
      <c r="M83" s="182">
        <v>360</v>
      </c>
      <c r="N83" s="182">
        <v>360</v>
      </c>
      <c r="O83" s="213">
        <v>360</v>
      </c>
    </row>
    <row r="84" spans="1:15" ht="12.75">
      <c r="A84" s="214" t="s">
        <v>327</v>
      </c>
      <c r="B84" s="108" t="s">
        <v>308</v>
      </c>
      <c r="C84" s="182">
        <v>438</v>
      </c>
      <c r="D84" s="182">
        <v>248</v>
      </c>
      <c r="E84" s="182">
        <v>202</v>
      </c>
      <c r="F84" s="182">
        <v>307</v>
      </c>
      <c r="G84" s="182">
        <v>414</v>
      </c>
      <c r="H84" s="182">
        <v>354</v>
      </c>
      <c r="I84" s="182">
        <v>256</v>
      </c>
      <c r="J84" s="182">
        <v>205</v>
      </c>
      <c r="K84" s="182">
        <v>248</v>
      </c>
      <c r="L84" s="182">
        <v>250</v>
      </c>
      <c r="M84" s="182">
        <v>260</v>
      </c>
      <c r="N84" s="182">
        <v>260</v>
      </c>
      <c r="O84" s="213">
        <v>260</v>
      </c>
    </row>
    <row r="85" spans="1:15" ht="12.75">
      <c r="A85" s="214" t="s">
        <v>328</v>
      </c>
      <c r="B85" s="108" t="s">
        <v>308</v>
      </c>
      <c r="C85" s="182">
        <f>51+85</f>
        <v>136</v>
      </c>
      <c r="D85" s="182">
        <v>104</v>
      </c>
      <c r="E85" s="182">
        <v>70</v>
      </c>
      <c r="F85" s="182">
        <f>43+30</f>
        <v>73</v>
      </c>
      <c r="G85" s="182">
        <f>45+21</f>
        <v>66</v>
      </c>
      <c r="H85" s="182">
        <v>66</v>
      </c>
      <c r="I85" s="182">
        <v>77</v>
      </c>
      <c r="J85" s="182">
        <v>107</v>
      </c>
      <c r="K85" s="182">
        <v>143</v>
      </c>
      <c r="L85" s="182">
        <v>150</v>
      </c>
      <c r="M85" s="182">
        <v>170</v>
      </c>
      <c r="N85" s="182">
        <v>170</v>
      </c>
      <c r="O85" s="213">
        <v>170</v>
      </c>
    </row>
    <row r="86" spans="1:15" ht="12.75">
      <c r="A86" s="214" t="s">
        <v>329</v>
      </c>
      <c r="B86" s="108" t="s">
        <v>308</v>
      </c>
      <c r="C86" s="182">
        <f>1+7</f>
        <v>8</v>
      </c>
      <c r="D86" s="182">
        <v>6</v>
      </c>
      <c r="E86" s="182">
        <v>3</v>
      </c>
      <c r="F86" s="182">
        <v>3</v>
      </c>
      <c r="G86" s="182">
        <v>1</v>
      </c>
      <c r="H86" s="182">
        <v>1</v>
      </c>
      <c r="I86" s="182">
        <v>1</v>
      </c>
      <c r="J86" s="182">
        <v>1</v>
      </c>
      <c r="K86" s="182">
        <v>5</v>
      </c>
      <c r="L86" s="182">
        <v>5</v>
      </c>
      <c r="M86" s="182">
        <v>5</v>
      </c>
      <c r="N86" s="182">
        <v>5</v>
      </c>
      <c r="O86" s="213">
        <v>5</v>
      </c>
    </row>
    <row r="87" spans="1:15" ht="12.75">
      <c r="A87" s="214" t="s">
        <v>330</v>
      </c>
      <c r="B87" s="108" t="s">
        <v>308</v>
      </c>
      <c r="C87" s="182">
        <f>120+221</f>
        <v>341</v>
      </c>
      <c r="D87" s="182">
        <v>316</v>
      </c>
      <c r="E87" s="182">
        <f>202+74</f>
        <v>276</v>
      </c>
      <c r="F87" s="182">
        <f>211+72</f>
        <v>283</v>
      </c>
      <c r="G87" s="182">
        <f>219+45</f>
        <v>264</v>
      </c>
      <c r="H87" s="182">
        <v>253</v>
      </c>
      <c r="I87" s="182">
        <v>255</v>
      </c>
      <c r="J87" s="182">
        <v>255</v>
      </c>
      <c r="K87" s="182">
        <v>294</v>
      </c>
      <c r="L87" s="182">
        <v>310</v>
      </c>
      <c r="M87" s="182">
        <v>320</v>
      </c>
      <c r="N87" s="182">
        <v>320</v>
      </c>
      <c r="O87" s="213">
        <v>320</v>
      </c>
    </row>
    <row r="88" spans="1:15" ht="22.5">
      <c r="A88" s="214" t="s">
        <v>331</v>
      </c>
      <c r="B88" s="108" t="s">
        <v>308</v>
      </c>
      <c r="C88" s="182">
        <f>50+130</f>
        <v>180</v>
      </c>
      <c r="D88" s="182">
        <v>166</v>
      </c>
      <c r="E88" s="182">
        <f>31+119</f>
        <v>150</v>
      </c>
      <c r="F88" s="182">
        <f>29+11+118</f>
        <v>158</v>
      </c>
      <c r="G88" s="182">
        <f>10+141</f>
        <v>151</v>
      </c>
      <c r="H88" s="183">
        <v>144</v>
      </c>
      <c r="I88" s="183">
        <v>128</v>
      </c>
      <c r="J88" s="183">
        <v>132</v>
      </c>
      <c r="K88" s="183">
        <v>135</v>
      </c>
      <c r="L88" s="183">
        <v>135</v>
      </c>
      <c r="M88" s="183">
        <v>140</v>
      </c>
      <c r="N88" s="183">
        <v>140</v>
      </c>
      <c r="O88" s="184">
        <v>140</v>
      </c>
    </row>
    <row r="89" spans="1:15" ht="22.5">
      <c r="A89" s="214" t="s">
        <v>332</v>
      </c>
      <c r="B89" s="108" t="s">
        <v>308</v>
      </c>
      <c r="C89" s="182">
        <f>131+227</f>
        <v>358</v>
      </c>
      <c r="D89" s="182">
        <v>375</v>
      </c>
      <c r="E89" s="182">
        <f>272+47</f>
        <v>319</v>
      </c>
      <c r="F89" s="182">
        <f>272+42</f>
        <v>314</v>
      </c>
      <c r="G89" s="182">
        <f>260+17</f>
        <v>277</v>
      </c>
      <c r="H89" s="183">
        <f>298+9</f>
        <v>307</v>
      </c>
      <c r="I89" s="183">
        <f>269+10</f>
        <v>279</v>
      </c>
      <c r="J89" s="183">
        <f>8+263</f>
        <v>271</v>
      </c>
      <c r="K89" s="183">
        <v>255</v>
      </c>
      <c r="L89" s="183">
        <v>260</v>
      </c>
      <c r="M89" s="183">
        <v>260</v>
      </c>
      <c r="N89" s="183">
        <v>260</v>
      </c>
      <c r="O89" s="184">
        <v>260</v>
      </c>
    </row>
    <row r="90" spans="1:15" ht="12.75">
      <c r="A90" s="214" t="s">
        <v>115</v>
      </c>
      <c r="B90" s="108" t="s">
        <v>308</v>
      </c>
      <c r="C90" s="182">
        <f>114+424</f>
        <v>538</v>
      </c>
      <c r="D90" s="182">
        <v>581</v>
      </c>
      <c r="E90" s="182">
        <f>94+359</f>
        <v>453</v>
      </c>
      <c r="F90" s="182">
        <f>369+93</f>
        <v>462</v>
      </c>
      <c r="G90" s="182">
        <f>400+77</f>
        <v>477</v>
      </c>
      <c r="H90" s="183">
        <v>404</v>
      </c>
      <c r="I90" s="183">
        <v>395</v>
      </c>
      <c r="J90" s="183">
        <v>378</v>
      </c>
      <c r="K90" s="183">
        <v>378</v>
      </c>
      <c r="L90" s="183">
        <v>378</v>
      </c>
      <c r="M90" s="183">
        <v>390</v>
      </c>
      <c r="N90" s="183">
        <v>390</v>
      </c>
      <c r="O90" s="184">
        <v>390</v>
      </c>
    </row>
    <row r="91" spans="1:15" ht="12.75">
      <c r="A91" s="214" t="s">
        <v>333</v>
      </c>
      <c r="B91" s="108" t="s">
        <v>308</v>
      </c>
      <c r="C91" s="182">
        <f>65+248</f>
        <v>313</v>
      </c>
      <c r="D91" s="182">
        <v>288</v>
      </c>
      <c r="E91" s="182">
        <f>28+236</f>
        <v>264</v>
      </c>
      <c r="F91" s="182">
        <f>236+27</f>
        <v>263</v>
      </c>
      <c r="G91" s="182">
        <f>252</f>
        <v>252</v>
      </c>
      <c r="H91" s="183">
        <v>263</v>
      </c>
      <c r="I91" s="183">
        <v>243</v>
      </c>
      <c r="J91" s="183">
        <v>220</v>
      </c>
      <c r="K91" s="183">
        <v>225</v>
      </c>
      <c r="L91" s="183">
        <v>230</v>
      </c>
      <c r="M91" s="183">
        <v>235</v>
      </c>
      <c r="N91" s="183">
        <v>235</v>
      </c>
      <c r="O91" s="184">
        <v>235</v>
      </c>
    </row>
    <row r="92" spans="1:15" ht="22.5">
      <c r="A92" s="214" t="s">
        <v>334</v>
      </c>
      <c r="B92" s="108" t="s">
        <v>308</v>
      </c>
      <c r="C92" s="182">
        <f>48+145</f>
        <v>193</v>
      </c>
      <c r="D92" s="182">
        <v>181</v>
      </c>
      <c r="E92" s="182">
        <f>15+113+9</f>
        <v>137</v>
      </c>
      <c r="F92" s="182">
        <f>110+17</f>
        <v>127</v>
      </c>
      <c r="G92" s="182">
        <v>119</v>
      </c>
      <c r="H92" s="183">
        <v>104</v>
      </c>
      <c r="I92" s="183">
        <v>69</v>
      </c>
      <c r="J92" s="183">
        <v>65</v>
      </c>
      <c r="K92" s="183">
        <v>59</v>
      </c>
      <c r="L92" s="183">
        <v>65</v>
      </c>
      <c r="M92" s="183">
        <v>70</v>
      </c>
      <c r="N92" s="183">
        <v>70</v>
      </c>
      <c r="O92" s="184">
        <v>70</v>
      </c>
    </row>
    <row r="93" spans="1:15" ht="22.5">
      <c r="A93" s="214" t="s">
        <v>335</v>
      </c>
      <c r="B93" s="108" t="s">
        <v>308</v>
      </c>
      <c r="C93" s="182">
        <v>143</v>
      </c>
      <c r="D93" s="182">
        <v>129</v>
      </c>
      <c r="E93" s="182">
        <f>17+74</f>
        <v>91</v>
      </c>
      <c r="F93" s="182">
        <f>110+26</f>
        <v>136</v>
      </c>
      <c r="G93" s="182">
        <f>75+27</f>
        <v>102</v>
      </c>
      <c r="H93" s="183">
        <v>103</v>
      </c>
      <c r="I93" s="183">
        <v>126</v>
      </c>
      <c r="J93" s="183">
        <v>131</v>
      </c>
      <c r="K93" s="183">
        <v>106</v>
      </c>
      <c r="L93" s="183">
        <v>89</v>
      </c>
      <c r="M93" s="183">
        <v>80</v>
      </c>
      <c r="N93" s="183">
        <v>80</v>
      </c>
      <c r="O93" s="184">
        <v>80</v>
      </c>
    </row>
    <row r="94" spans="1:15" ht="12.75">
      <c r="A94" s="107" t="s">
        <v>336</v>
      </c>
      <c r="B94" s="108" t="s">
        <v>308</v>
      </c>
      <c r="C94" s="182">
        <f>98+30</f>
        <v>128</v>
      </c>
      <c r="D94" s="182">
        <v>106</v>
      </c>
      <c r="E94" s="182">
        <f>16+70</f>
        <v>86</v>
      </c>
      <c r="F94" s="182">
        <f>104+21</f>
        <v>125</v>
      </c>
      <c r="G94" s="182">
        <f>60+18</f>
        <v>78</v>
      </c>
      <c r="H94" s="183">
        <v>67</v>
      </c>
      <c r="I94" s="183">
        <v>116</v>
      </c>
      <c r="J94" s="183">
        <v>130</v>
      </c>
      <c r="K94" s="183">
        <v>93</v>
      </c>
      <c r="L94" s="183">
        <v>75</v>
      </c>
      <c r="M94" s="183">
        <v>70</v>
      </c>
      <c r="N94" s="183">
        <v>70</v>
      </c>
      <c r="O94" s="184">
        <v>70</v>
      </c>
    </row>
    <row r="95" spans="1:15" ht="15">
      <c r="A95" s="401" t="s">
        <v>337</v>
      </c>
      <c r="B95" s="402"/>
      <c r="C95" s="402"/>
      <c r="D95" s="402"/>
      <c r="E95" s="402"/>
      <c r="F95" s="402"/>
      <c r="G95" s="402"/>
      <c r="H95" s="402"/>
      <c r="I95" s="402"/>
      <c r="J95" s="402"/>
      <c r="K95" s="402"/>
      <c r="L95" s="402"/>
      <c r="M95" s="402"/>
      <c r="N95" s="402"/>
      <c r="O95" s="403"/>
    </row>
    <row r="96" spans="1:15" ht="12.75">
      <c r="A96" s="171" t="s">
        <v>267</v>
      </c>
      <c r="B96" s="108" t="s">
        <v>274</v>
      </c>
      <c r="C96" s="182">
        <f>1012.72+304.42</f>
        <v>1317.14</v>
      </c>
      <c r="D96" s="215">
        <f>D98+D99</f>
        <v>1184.054</v>
      </c>
      <c r="E96" s="216">
        <f>(1210130.9+257869.9)/1000</f>
        <v>1468.0007999999998</v>
      </c>
      <c r="F96" s="216">
        <f>(1339415.6+257525.9)/1000</f>
        <v>1596.9415</v>
      </c>
      <c r="G96" s="217">
        <f>(1656116.4+167771.4)/1000</f>
        <v>1823.8877999999997</v>
      </c>
      <c r="H96" s="217">
        <f>1961189.9/1000</f>
        <v>1961.1898999999999</v>
      </c>
      <c r="I96" s="218">
        <v>2025.657</v>
      </c>
      <c r="J96" s="218">
        <v>1967.976</v>
      </c>
      <c r="K96" s="218">
        <v>2160.552</v>
      </c>
      <c r="L96" s="218">
        <v>2250</v>
      </c>
      <c r="M96" s="218">
        <v>2350</v>
      </c>
      <c r="N96" s="218">
        <v>2400</v>
      </c>
      <c r="O96" s="219">
        <v>2450</v>
      </c>
    </row>
    <row r="97" spans="1:15" ht="12.75" hidden="1">
      <c r="A97" s="185" t="s">
        <v>338</v>
      </c>
      <c r="B97" s="108"/>
      <c r="C97" s="220"/>
      <c r="D97" s="220"/>
      <c r="E97" s="221"/>
      <c r="F97" s="221"/>
      <c r="G97" s="221"/>
      <c r="H97" s="221"/>
      <c r="I97" s="220"/>
      <c r="J97" s="220"/>
      <c r="K97" s="220"/>
      <c r="L97" s="220"/>
      <c r="M97" s="220"/>
      <c r="N97" s="220"/>
      <c r="O97" s="209"/>
    </row>
    <row r="98" spans="1:15" ht="12.75" hidden="1">
      <c r="A98" s="107" t="s">
        <v>339</v>
      </c>
      <c r="B98" s="108" t="s">
        <v>274</v>
      </c>
      <c r="C98" s="182">
        <f>515.88+77.75</f>
        <v>593.63</v>
      </c>
      <c r="D98" s="215">
        <v>470.3682</v>
      </c>
      <c r="E98" s="216">
        <f>E96*40%</f>
        <v>587.2003199999999</v>
      </c>
      <c r="F98" s="216">
        <f>F96*40%</f>
        <v>638.7766</v>
      </c>
      <c r="G98" s="217">
        <f>G96*40%</f>
        <v>729.55512</v>
      </c>
      <c r="H98" s="217">
        <f>H96*40%</f>
        <v>784.47596</v>
      </c>
      <c r="I98" s="218">
        <f>H98*96.6%</f>
        <v>757.8037773599999</v>
      </c>
      <c r="J98" s="218">
        <f>I98*112%</f>
        <v>848.7402306432</v>
      </c>
      <c r="K98" s="218"/>
      <c r="L98" s="218"/>
      <c r="M98" s="218">
        <f>J98*109%</f>
        <v>925.1268514010881</v>
      </c>
      <c r="N98" s="218">
        <f>M98*107%</f>
        <v>989.8857309991643</v>
      </c>
      <c r="O98" s="219">
        <f>N98*108%</f>
        <v>1069.0765894790975</v>
      </c>
    </row>
    <row r="99" spans="1:15" ht="12.75" hidden="1">
      <c r="A99" s="107" t="s">
        <v>340</v>
      </c>
      <c r="B99" s="108" t="s">
        <v>274</v>
      </c>
      <c r="C99" s="215">
        <f>(496847.21+226670.8)/1000</f>
        <v>723.51801</v>
      </c>
      <c r="D99" s="215">
        <v>713.6858</v>
      </c>
      <c r="E99" s="216">
        <f>E96*60%</f>
        <v>880.8004799999999</v>
      </c>
      <c r="F99" s="216">
        <f>F96*60%</f>
        <v>958.1648999999999</v>
      </c>
      <c r="G99" s="217">
        <f>G96*60%</f>
        <v>1094.3326799999998</v>
      </c>
      <c r="H99" s="217">
        <f>H96*60%</f>
        <v>1176.7139399999999</v>
      </c>
      <c r="I99" s="218">
        <f>H99*96.6%</f>
        <v>1136.7056660399999</v>
      </c>
      <c r="J99" s="218">
        <f>I99*112%</f>
        <v>1273.1103459648</v>
      </c>
      <c r="K99" s="218"/>
      <c r="L99" s="218"/>
      <c r="M99" s="218">
        <f>J99*109%</f>
        <v>1387.690277101632</v>
      </c>
      <c r="N99" s="218">
        <f>M99*107%</f>
        <v>1484.8285964987465</v>
      </c>
      <c r="O99" s="219">
        <f>N99*108%</f>
        <v>1603.6148842186462</v>
      </c>
    </row>
    <row r="100" spans="1:15" ht="15.75">
      <c r="A100" s="404" t="s">
        <v>341</v>
      </c>
      <c r="B100" s="405"/>
      <c r="C100" s="387"/>
      <c r="D100" s="387"/>
      <c r="E100" s="387"/>
      <c r="F100" s="387"/>
      <c r="G100" s="387"/>
      <c r="H100" s="387"/>
      <c r="I100" s="387"/>
      <c r="J100" s="387"/>
      <c r="K100" s="387"/>
      <c r="L100" s="387"/>
      <c r="M100" s="387"/>
      <c r="N100" s="387"/>
      <c r="O100" s="388"/>
    </row>
    <row r="101" spans="1:15" ht="12.75">
      <c r="A101" s="214" t="s">
        <v>342</v>
      </c>
      <c r="B101" s="108" t="s">
        <v>274</v>
      </c>
      <c r="C101" s="215">
        <f aca="true" t="shared" si="16" ref="C101:O101">SUM(C103+C104+C106)</f>
        <v>1440.6276</v>
      </c>
      <c r="D101" s="215">
        <f t="shared" si="16"/>
        <v>1440.6840000000002</v>
      </c>
      <c r="E101" s="215">
        <f>SUM(E103+E104+E106)</f>
        <v>1725.4527999999998</v>
      </c>
      <c r="F101" s="215">
        <f>SUM(F103+F104+F106)</f>
        <v>1891.8055</v>
      </c>
      <c r="G101" s="215">
        <f t="shared" si="16"/>
        <v>2241.9878</v>
      </c>
      <c r="H101" s="218">
        <f t="shared" si="16"/>
        <v>2446.4898999999996</v>
      </c>
      <c r="I101" s="218">
        <f t="shared" si="16"/>
        <v>2593.942</v>
      </c>
      <c r="J101" s="218">
        <f t="shared" si="16"/>
        <v>2558.454</v>
      </c>
      <c r="K101" s="218">
        <f t="shared" si="16"/>
        <v>2782.733</v>
      </c>
      <c r="L101" s="218">
        <f t="shared" si="16"/>
        <v>2894.093</v>
      </c>
      <c r="M101" s="218">
        <f t="shared" si="16"/>
        <v>3013.2799999999997</v>
      </c>
      <c r="N101" s="218">
        <f t="shared" si="16"/>
        <v>3078.089</v>
      </c>
      <c r="O101" s="219">
        <f t="shared" si="16"/>
        <v>3143.251</v>
      </c>
    </row>
    <row r="102" spans="1:15" ht="12.75">
      <c r="A102" s="391" t="s">
        <v>343</v>
      </c>
      <c r="B102" s="387"/>
      <c r="C102" s="387"/>
      <c r="D102" s="387"/>
      <c r="E102" s="387"/>
      <c r="F102" s="387"/>
      <c r="G102" s="387"/>
      <c r="H102" s="387"/>
      <c r="I102" s="387"/>
      <c r="J102" s="387"/>
      <c r="K102" s="387"/>
      <c r="L102" s="387"/>
      <c r="M102" s="387"/>
      <c r="N102" s="387"/>
      <c r="O102" s="388"/>
    </row>
    <row r="103" spans="1:15" ht="12.75">
      <c r="A103" s="107" t="s">
        <v>344</v>
      </c>
      <c r="B103" s="108" t="s">
        <v>274</v>
      </c>
      <c r="C103" s="182">
        <f aca="true" t="shared" si="17" ref="C103:O103">C96</f>
        <v>1317.14</v>
      </c>
      <c r="D103" s="215">
        <f t="shared" si="17"/>
        <v>1184.054</v>
      </c>
      <c r="E103" s="215">
        <f>E96</f>
        <v>1468.0007999999998</v>
      </c>
      <c r="F103" s="215">
        <f>F96</f>
        <v>1596.9415</v>
      </c>
      <c r="G103" s="215">
        <f t="shared" si="17"/>
        <v>1823.8877999999997</v>
      </c>
      <c r="H103" s="215">
        <f t="shared" si="17"/>
        <v>1961.1898999999999</v>
      </c>
      <c r="I103" s="215">
        <f>I96</f>
        <v>2025.657</v>
      </c>
      <c r="J103" s="215">
        <f t="shared" si="17"/>
        <v>1967.976</v>
      </c>
      <c r="K103" s="215">
        <f t="shared" si="17"/>
        <v>2160.552</v>
      </c>
      <c r="L103" s="215">
        <f>L96</f>
        <v>2250</v>
      </c>
      <c r="M103" s="215">
        <f t="shared" si="17"/>
        <v>2350</v>
      </c>
      <c r="N103" s="215">
        <f t="shared" si="17"/>
        <v>2400</v>
      </c>
      <c r="O103" s="222">
        <f t="shared" si="17"/>
        <v>2450</v>
      </c>
    </row>
    <row r="104" spans="1:15" ht="12.75">
      <c r="A104" s="107" t="s">
        <v>345</v>
      </c>
      <c r="B104" s="108" t="s">
        <v>274</v>
      </c>
      <c r="C104" s="215">
        <f>C105+2.4383</f>
        <v>103.4876</v>
      </c>
      <c r="D104" s="215">
        <v>236.63</v>
      </c>
      <c r="E104" s="215">
        <f>E105+39.27</f>
        <v>237.45200000000003</v>
      </c>
      <c r="F104" s="215">
        <f>F105+61.65</f>
        <v>290.25</v>
      </c>
      <c r="G104" s="215">
        <f>G105+52.87</f>
        <v>411.1</v>
      </c>
      <c r="H104" s="215">
        <f>H105+56.9+17</f>
        <v>477.29999999999995</v>
      </c>
      <c r="I104" s="215">
        <f>I105+100.286+30.983</f>
        <v>558.285</v>
      </c>
      <c r="J104" s="215">
        <f>J105+73.497+40.213</f>
        <v>573.478</v>
      </c>
      <c r="K104" s="215">
        <f>K105+82.252+52.986</f>
        <v>604.1809999999999</v>
      </c>
      <c r="L104" s="215">
        <f>L105+88.837+57.309</f>
        <v>624.093</v>
      </c>
      <c r="M104" s="215">
        <f>M105+91.502+59.028</f>
        <v>638.28</v>
      </c>
      <c r="N104" s="215">
        <f>N105+94.247+60.799</f>
        <v>653.0889999999999</v>
      </c>
      <c r="O104" s="222">
        <f>O105+97.075+62.623</f>
        <v>668.2510000000001</v>
      </c>
    </row>
    <row r="105" spans="1:15" ht="12.75">
      <c r="A105" s="107" t="s">
        <v>346</v>
      </c>
      <c r="B105" s="108" t="s">
        <v>274</v>
      </c>
      <c r="C105" s="215">
        <v>101.0493</v>
      </c>
      <c r="D105" s="215">
        <v>233.31</v>
      </c>
      <c r="E105" s="215">
        <f>191.662+6.52</f>
        <v>198.18200000000002</v>
      </c>
      <c r="F105" s="215">
        <v>228.6</v>
      </c>
      <c r="G105" s="215">
        <v>358.23</v>
      </c>
      <c r="H105" s="215">
        <v>403.4</v>
      </c>
      <c r="I105" s="215">
        <v>427.016</v>
      </c>
      <c r="J105" s="215">
        <v>459.768</v>
      </c>
      <c r="K105" s="215">
        <v>468.943</v>
      </c>
      <c r="L105" s="215">
        <v>477.947</v>
      </c>
      <c r="M105" s="215">
        <v>487.75</v>
      </c>
      <c r="N105" s="215">
        <v>498.043</v>
      </c>
      <c r="O105" s="222">
        <v>508.553</v>
      </c>
    </row>
    <row r="106" spans="1:15" ht="12.75">
      <c r="A106" s="107" t="s">
        <v>347</v>
      </c>
      <c r="B106" s="108" t="s">
        <v>274</v>
      </c>
      <c r="C106" s="187">
        <v>20</v>
      </c>
      <c r="D106" s="187">
        <v>20</v>
      </c>
      <c r="E106" s="186">
        <v>20</v>
      </c>
      <c r="F106" s="186">
        <f>2.614+2</f>
        <v>4.614</v>
      </c>
      <c r="G106" s="186">
        <v>7</v>
      </c>
      <c r="H106" s="186">
        <v>8</v>
      </c>
      <c r="I106" s="186">
        <v>10</v>
      </c>
      <c r="J106" s="186">
        <v>17</v>
      </c>
      <c r="K106" s="186">
        <v>18</v>
      </c>
      <c r="L106" s="186">
        <v>20</v>
      </c>
      <c r="M106" s="186">
        <v>25</v>
      </c>
      <c r="N106" s="186">
        <v>25</v>
      </c>
      <c r="O106" s="223">
        <v>25</v>
      </c>
    </row>
    <row r="107" spans="1:15" ht="12.75">
      <c r="A107" s="214" t="s">
        <v>348</v>
      </c>
      <c r="B107" s="108" t="s">
        <v>274</v>
      </c>
      <c r="C107" s="215">
        <f>C109+C111</f>
        <v>1010.8697999999999</v>
      </c>
      <c r="D107" s="215">
        <f>D109+D111</f>
        <v>1013.052</v>
      </c>
      <c r="E107" s="215">
        <f>E109+E111</f>
        <v>1026.081918</v>
      </c>
      <c r="F107" s="218">
        <f>F109+F111</f>
        <v>839.9581000000001</v>
      </c>
      <c r="G107" s="218">
        <f>G109+G111</f>
        <v>772.739</v>
      </c>
      <c r="H107" s="218">
        <f>H109+H111+595.11</f>
        <v>1444.21001</v>
      </c>
      <c r="I107" s="218">
        <f>I109+I111+191</f>
        <v>1617.49921</v>
      </c>
      <c r="J107" s="218">
        <f>J109+J111+300</f>
        <v>1653.32071</v>
      </c>
      <c r="K107" s="218">
        <f>K109+K111+300</f>
        <v>1661.4853433333333</v>
      </c>
      <c r="L107" s="218">
        <f>L109+L111+300</f>
        <v>1688.50001</v>
      </c>
      <c r="M107" s="218">
        <f>M109+M111+399</f>
        <v>1810.3510099999999</v>
      </c>
      <c r="N107" s="218">
        <f>N109+N111+680</f>
        <v>2108.762523</v>
      </c>
      <c r="O107" s="219">
        <f>O109+O111+680</f>
        <v>2126.0729380169996</v>
      </c>
    </row>
    <row r="108" spans="1:15" ht="12.75">
      <c r="A108" s="391" t="s">
        <v>343</v>
      </c>
      <c r="B108" s="387"/>
      <c r="C108" s="387"/>
      <c r="D108" s="387"/>
      <c r="E108" s="387"/>
      <c r="F108" s="387"/>
      <c r="G108" s="387"/>
      <c r="H108" s="387"/>
      <c r="I108" s="387"/>
      <c r="J108" s="387"/>
      <c r="K108" s="387"/>
      <c r="L108" s="387"/>
      <c r="M108" s="387"/>
      <c r="N108" s="387"/>
      <c r="O108" s="388"/>
    </row>
    <row r="109" spans="1:15" ht="12.75">
      <c r="A109" s="107" t="s">
        <v>349</v>
      </c>
      <c r="B109" s="108" t="s">
        <v>274</v>
      </c>
      <c r="C109" s="215">
        <f>C110+136.4798</f>
        <v>1000.8697999999999</v>
      </c>
      <c r="D109" s="215">
        <f>D110+D121</f>
        <v>1004.352</v>
      </c>
      <c r="E109" s="215">
        <f>E110+E121</f>
        <v>1014.0819180000001</v>
      </c>
      <c r="F109" s="215">
        <f aca="true" t="shared" si="18" ref="F109:O109">F116+F118+F121+F110</f>
        <v>821.9581000000001</v>
      </c>
      <c r="G109" s="218">
        <f t="shared" si="18"/>
        <v>749.739</v>
      </c>
      <c r="H109" s="218">
        <f>H116+H118+H121+H110</f>
        <v>799.10001</v>
      </c>
      <c r="I109" s="218">
        <f>I116+I118+I121+I110+130</f>
        <v>1366.49921</v>
      </c>
      <c r="J109" s="218">
        <f t="shared" si="18"/>
        <v>1275.32071</v>
      </c>
      <c r="K109" s="218">
        <f>K116+K118+K121+K110</f>
        <v>1279.4853433333333</v>
      </c>
      <c r="L109" s="218">
        <f>L116+L118+L121+L110</f>
        <v>1303.50001</v>
      </c>
      <c r="M109" s="218">
        <f t="shared" si="18"/>
        <v>1321.3510099999999</v>
      </c>
      <c r="N109" s="218">
        <f t="shared" si="18"/>
        <v>1338.7625229999999</v>
      </c>
      <c r="O109" s="219">
        <f t="shared" si="18"/>
        <v>1356.0729380169996</v>
      </c>
    </row>
    <row r="110" spans="1:15" ht="12.75">
      <c r="A110" s="224" t="s">
        <v>350</v>
      </c>
      <c r="B110" s="108" t="s">
        <v>274</v>
      </c>
      <c r="C110" s="215">
        <v>864.39</v>
      </c>
      <c r="D110" s="215">
        <v>820.16</v>
      </c>
      <c r="E110" s="215">
        <v>922.9939180000001</v>
      </c>
      <c r="F110" s="215">
        <f>F116*110%</f>
        <v>377.9721</v>
      </c>
      <c r="G110" s="215">
        <f>G116*110%</f>
        <v>332.618</v>
      </c>
      <c r="H110" s="215">
        <f>H116*120%</f>
        <v>342.96</v>
      </c>
      <c r="I110" s="215">
        <f>I116*130%+500.1</f>
        <v>822.6352</v>
      </c>
      <c r="J110" s="215">
        <f aca="true" t="shared" si="19" ref="J110:O110">J116*130%+600</f>
        <v>908.8527</v>
      </c>
      <c r="K110" s="215">
        <f t="shared" si="19"/>
        <v>915.068</v>
      </c>
      <c r="L110" s="215">
        <f t="shared" si="19"/>
        <v>925</v>
      </c>
      <c r="M110" s="215">
        <f t="shared" si="19"/>
        <v>932.4749999999999</v>
      </c>
      <c r="N110" s="215">
        <f t="shared" si="19"/>
        <v>939.4569749999999</v>
      </c>
      <c r="O110" s="222">
        <f t="shared" si="19"/>
        <v>946.5855714749998</v>
      </c>
    </row>
    <row r="111" spans="1:15" ht="12" customHeight="1">
      <c r="A111" s="107" t="s">
        <v>351</v>
      </c>
      <c r="B111" s="108" t="s">
        <v>274</v>
      </c>
      <c r="C111" s="215">
        <v>10</v>
      </c>
      <c r="D111" s="215">
        <v>8.7</v>
      </c>
      <c r="E111" s="215">
        <v>12</v>
      </c>
      <c r="F111" s="215">
        <f>237-219</f>
        <v>18</v>
      </c>
      <c r="G111" s="215">
        <v>23</v>
      </c>
      <c r="H111" s="215">
        <v>50</v>
      </c>
      <c r="I111" s="215">
        <v>60</v>
      </c>
      <c r="J111" s="215">
        <v>78</v>
      </c>
      <c r="K111" s="215">
        <v>82</v>
      </c>
      <c r="L111" s="215">
        <v>85</v>
      </c>
      <c r="M111" s="215">
        <v>90</v>
      </c>
      <c r="N111" s="215">
        <v>90</v>
      </c>
      <c r="O111" s="222">
        <v>90</v>
      </c>
    </row>
    <row r="112" spans="1:15" ht="22.5">
      <c r="A112" s="107" t="s">
        <v>352</v>
      </c>
      <c r="B112" s="108" t="s">
        <v>353</v>
      </c>
      <c r="C112" s="182">
        <v>9856</v>
      </c>
      <c r="D112" s="225">
        <v>10800</v>
      </c>
      <c r="E112" s="225">
        <v>10961</v>
      </c>
      <c r="F112" s="226">
        <v>11114</v>
      </c>
      <c r="G112" s="226">
        <v>12157</v>
      </c>
      <c r="H112" s="227">
        <v>13381</v>
      </c>
      <c r="I112" s="227">
        <v>14568</v>
      </c>
      <c r="J112" s="227">
        <v>16537</v>
      </c>
      <c r="K112" s="227">
        <v>18072</v>
      </c>
      <c r="L112" s="227">
        <v>20172</v>
      </c>
      <c r="M112" s="227">
        <v>21103</v>
      </c>
      <c r="N112" s="227">
        <v>22126</v>
      </c>
      <c r="O112" s="228">
        <v>23147</v>
      </c>
    </row>
    <row r="113" spans="1:15" ht="22.5">
      <c r="A113" s="107" t="s">
        <v>354</v>
      </c>
      <c r="B113" s="108" t="s">
        <v>271</v>
      </c>
      <c r="C113" s="229" t="s">
        <v>355</v>
      </c>
      <c r="D113" s="229" t="s">
        <v>355</v>
      </c>
      <c r="E113" s="229" t="s">
        <v>356</v>
      </c>
      <c r="F113" s="230">
        <v>0.102</v>
      </c>
      <c r="G113" s="230">
        <v>0.1</v>
      </c>
      <c r="H113" s="231">
        <v>0.093</v>
      </c>
      <c r="I113" s="231">
        <v>0.092</v>
      </c>
      <c r="J113" s="231">
        <v>0.085</v>
      </c>
      <c r="K113" s="231">
        <v>0.084</v>
      </c>
      <c r="L113" s="231">
        <v>0.083</v>
      </c>
      <c r="M113" s="231">
        <v>0.082</v>
      </c>
      <c r="N113" s="231">
        <v>0.081</v>
      </c>
      <c r="O113" s="232">
        <v>0.08</v>
      </c>
    </row>
    <row r="114" spans="1:15" ht="16.5" customHeight="1">
      <c r="A114" s="386" t="s">
        <v>357</v>
      </c>
      <c r="B114" s="387"/>
      <c r="C114" s="387"/>
      <c r="D114" s="387"/>
      <c r="E114" s="387"/>
      <c r="F114" s="387"/>
      <c r="G114" s="387"/>
      <c r="H114" s="387"/>
      <c r="I114" s="387"/>
      <c r="J114" s="387"/>
      <c r="K114" s="387"/>
      <c r="L114" s="387"/>
      <c r="M114" s="387"/>
      <c r="N114" s="387"/>
      <c r="O114" s="388"/>
    </row>
    <row r="115" spans="1:15" ht="16.5" customHeight="1">
      <c r="A115" s="389" t="s">
        <v>358</v>
      </c>
      <c r="B115" s="390"/>
      <c r="C115" s="387"/>
      <c r="D115" s="387"/>
      <c r="E115" s="387"/>
      <c r="F115" s="387"/>
      <c r="G115" s="387"/>
      <c r="H115" s="387"/>
      <c r="I115" s="387"/>
      <c r="J115" s="387"/>
      <c r="K115" s="387"/>
      <c r="L115" s="387"/>
      <c r="M115" s="387"/>
      <c r="N115" s="387"/>
      <c r="O115" s="388"/>
    </row>
    <row r="116" spans="1:15" ht="12.75">
      <c r="A116" s="107" t="s">
        <v>267</v>
      </c>
      <c r="B116" s="108" t="s">
        <v>274</v>
      </c>
      <c r="C116" s="129">
        <f>79.504+82.8167</f>
        <v>162.3207</v>
      </c>
      <c r="D116" s="129">
        <v>151.28</v>
      </c>
      <c r="E116" s="130">
        <f>(243825.2+121388.7)/1000</f>
        <v>365.2139</v>
      </c>
      <c r="F116" s="130">
        <f>187.012+156.599</f>
        <v>343.611</v>
      </c>
      <c r="G116" s="130">
        <f>158.23+144.15</f>
        <v>302.38</v>
      </c>
      <c r="H116" s="130">
        <v>285.8</v>
      </c>
      <c r="I116" s="130">
        <v>248.104</v>
      </c>
      <c r="J116" s="130">
        <v>237.579</v>
      </c>
      <c r="K116" s="130">
        <v>242.36</v>
      </c>
      <c r="L116" s="130">
        <v>250</v>
      </c>
      <c r="M116" s="130">
        <f>L116*102.3%</f>
        <v>255.74999999999997</v>
      </c>
      <c r="N116" s="130">
        <f>M116*102.1%</f>
        <v>261.12074999999993</v>
      </c>
      <c r="O116" s="132">
        <f>N116*102.1%</f>
        <v>266.6042857499999</v>
      </c>
    </row>
    <row r="117" spans="1:15" ht="22.5">
      <c r="A117" s="107"/>
      <c r="B117" s="108" t="s">
        <v>262</v>
      </c>
      <c r="C117" s="167"/>
      <c r="D117" s="167">
        <f>SUM(D116/C116*100)</f>
        <v>93.19821809541237</v>
      </c>
      <c r="E117" s="167">
        <f>SUM(E116/D116*100)</f>
        <v>241.41585140137494</v>
      </c>
      <c r="F117" s="167">
        <f>SUM(F116/E116*100)</f>
        <v>94.08486369220886</v>
      </c>
      <c r="G117" s="167">
        <f>SUM(G116/E116*100)</f>
        <v>82.79531529331166</v>
      </c>
      <c r="H117" s="167">
        <f>SUM(H116/F116*100)</f>
        <v>83.17545130976599</v>
      </c>
      <c r="I117" s="167">
        <f>SUM(I116/H116*100)</f>
        <v>86.81035689293212</v>
      </c>
      <c r="J117" s="167">
        <f>SUM(J116/I116*100)</f>
        <v>95.75782736271886</v>
      </c>
      <c r="K117" s="127">
        <f>SUM((K116/J116)*100)</f>
        <v>102.01238324936126</v>
      </c>
      <c r="L117" s="127">
        <f>SUM((L116/K116)*100)</f>
        <v>103.15233536887274</v>
      </c>
      <c r="M117" s="127">
        <f>SUM((M116/L116)*100)</f>
        <v>102.3</v>
      </c>
      <c r="N117" s="167">
        <f>SUM(N116/M116*100)</f>
        <v>102.1</v>
      </c>
      <c r="O117" s="233">
        <f>SUM(O116/N116*100)</f>
        <v>102.1</v>
      </c>
    </row>
    <row r="118" spans="1:15" ht="33.75">
      <c r="A118" s="117" t="s">
        <v>359</v>
      </c>
      <c r="B118" s="108" t="s">
        <v>360</v>
      </c>
      <c r="C118" s="234">
        <f>3.573+0.315</f>
        <v>3.888</v>
      </c>
      <c r="D118" s="234">
        <v>7.25</v>
      </c>
      <c r="E118" s="235">
        <f>(3791.9+474.9)/1000</f>
        <v>4.2668</v>
      </c>
      <c r="F118" s="235">
        <f>1.963+0.235</f>
        <v>2.198</v>
      </c>
      <c r="G118" s="235">
        <f>0.13+0.22</f>
        <v>0.35</v>
      </c>
      <c r="H118" s="235">
        <v>1E-05</v>
      </c>
      <c r="I118" s="235">
        <v>1E-05</v>
      </c>
      <c r="J118" s="235">
        <v>1E-05</v>
      </c>
      <c r="K118" s="235">
        <v>1E-05</v>
      </c>
      <c r="L118" s="235">
        <v>1E-05</v>
      </c>
      <c r="M118" s="235">
        <v>1E-05</v>
      </c>
      <c r="N118" s="235">
        <v>1E-05</v>
      </c>
      <c r="O118" s="236">
        <v>1E-05</v>
      </c>
    </row>
    <row r="119" spans="1:15" ht="22.5">
      <c r="A119" s="107"/>
      <c r="B119" s="108" t="s">
        <v>361</v>
      </c>
      <c r="C119" s="134"/>
      <c r="D119" s="134">
        <f>SUM(D118/C118*100)</f>
        <v>186.47119341563786</v>
      </c>
      <c r="E119" s="134">
        <f>SUM(E118/D118*100)</f>
        <v>58.852413793103445</v>
      </c>
      <c r="F119" s="134">
        <f>SUM(F118/E118*100)</f>
        <v>51.51401518702541</v>
      </c>
      <c r="G119" s="134">
        <f>SUM(G118/F118*100)</f>
        <v>15.92356687898089</v>
      </c>
      <c r="H119" s="134">
        <f>SUM(H118/G118*100)</f>
        <v>0.0028571428571428576</v>
      </c>
      <c r="I119" s="237">
        <v>0</v>
      </c>
      <c r="J119" s="237">
        <v>0</v>
      </c>
      <c r="K119" s="127">
        <v>0</v>
      </c>
      <c r="L119" s="127">
        <v>0</v>
      </c>
      <c r="M119" s="127">
        <v>0</v>
      </c>
      <c r="N119" s="134">
        <v>0</v>
      </c>
      <c r="O119" s="238">
        <v>0</v>
      </c>
    </row>
    <row r="120" spans="1:15" ht="12.75">
      <c r="A120" s="389" t="s">
        <v>362</v>
      </c>
      <c r="B120" s="390"/>
      <c r="C120" s="387"/>
      <c r="D120" s="387"/>
      <c r="E120" s="387"/>
      <c r="F120" s="387"/>
      <c r="G120" s="387"/>
      <c r="H120" s="387"/>
      <c r="I120" s="387"/>
      <c r="J120" s="387"/>
      <c r="K120" s="387"/>
      <c r="L120" s="387"/>
      <c r="M120" s="387"/>
      <c r="N120" s="387"/>
      <c r="O120" s="388"/>
    </row>
    <row r="121" spans="1:15" ht="12.75">
      <c r="A121" s="107" t="s">
        <v>267</v>
      </c>
      <c r="B121" s="108" t="s">
        <v>274</v>
      </c>
      <c r="C121" s="239">
        <f aca="true" t="shared" si="20" ref="C121:O121">SUM(C124:C131)</f>
        <v>119.8248</v>
      </c>
      <c r="D121" s="239">
        <f t="shared" si="20"/>
        <v>184.19199999999998</v>
      </c>
      <c r="E121" s="239">
        <f>SUM(E124:E131)</f>
        <v>91.088</v>
      </c>
      <c r="F121" s="239">
        <f>SUM(F124:F131)</f>
        <v>98.17699999999999</v>
      </c>
      <c r="G121" s="131">
        <f t="shared" si="20"/>
        <v>114.391</v>
      </c>
      <c r="H121" s="131">
        <f t="shared" si="20"/>
        <v>170.34000000000003</v>
      </c>
      <c r="I121" s="131">
        <f>SUM(I124:I131)</f>
        <v>165.76000000000002</v>
      </c>
      <c r="J121" s="131">
        <f>SUM(J124:J131)</f>
        <v>128.88899999999998</v>
      </c>
      <c r="K121" s="131">
        <f>SUM(K124:K131)</f>
        <v>122.05733333333333</v>
      </c>
      <c r="L121" s="131">
        <f>SUM(L124:L131)</f>
        <v>128.5</v>
      </c>
      <c r="M121" s="131">
        <f t="shared" si="20"/>
        <v>133.12600000000003</v>
      </c>
      <c r="N121" s="131">
        <f t="shared" si="20"/>
        <v>138.18478800000003</v>
      </c>
      <c r="O121" s="204">
        <f t="shared" si="20"/>
        <v>142.88307079199998</v>
      </c>
    </row>
    <row r="122" spans="1:15" ht="22.5">
      <c r="A122" s="107"/>
      <c r="B122" s="108" t="s">
        <v>262</v>
      </c>
      <c r="C122" s="167"/>
      <c r="D122" s="167">
        <f aca="true" t="shared" si="21" ref="D122:J122">SUM(D121/C121*100)</f>
        <v>153.71776126477988</v>
      </c>
      <c r="E122" s="167">
        <f t="shared" si="21"/>
        <v>49.45274496177902</v>
      </c>
      <c r="F122" s="167">
        <f t="shared" si="21"/>
        <v>107.78258387493413</v>
      </c>
      <c r="G122" s="167">
        <f t="shared" si="21"/>
        <v>116.51506972101411</v>
      </c>
      <c r="H122" s="167">
        <f t="shared" si="21"/>
        <v>148.9103163710432</v>
      </c>
      <c r="I122" s="167">
        <f t="shared" si="21"/>
        <v>97.31125983327462</v>
      </c>
      <c r="J122" s="162">
        <f t="shared" si="21"/>
        <v>77.75639478764477</v>
      </c>
      <c r="K122" s="135">
        <f>SUM((K121/J121)*100)</f>
        <v>94.69957353485042</v>
      </c>
      <c r="L122" s="135">
        <f>SUM((L121/K121)*100)</f>
        <v>105.27839376030937</v>
      </c>
      <c r="M122" s="135">
        <f>SUM((M121/L121)*100)</f>
        <v>103.60000000000002</v>
      </c>
      <c r="N122" s="162">
        <f>SUM(N121/M121*100)</f>
        <v>103.8</v>
      </c>
      <c r="O122" s="240">
        <f>SUM(O121/N121*100)</f>
        <v>103.39999999999996</v>
      </c>
    </row>
    <row r="123" spans="1:15" ht="12.75">
      <c r="A123" s="391" t="s">
        <v>363</v>
      </c>
      <c r="B123" s="387"/>
      <c r="C123" s="387"/>
      <c r="D123" s="387"/>
      <c r="E123" s="387"/>
      <c r="F123" s="387"/>
      <c r="G123" s="387"/>
      <c r="H123" s="387"/>
      <c r="I123" s="387"/>
      <c r="J123" s="387"/>
      <c r="K123" s="387"/>
      <c r="L123" s="387"/>
      <c r="M123" s="387"/>
      <c r="N123" s="387"/>
      <c r="O123" s="388"/>
    </row>
    <row r="124" spans="1:15" ht="12.75">
      <c r="A124" s="224" t="s">
        <v>364</v>
      </c>
      <c r="B124" s="108" t="s">
        <v>365</v>
      </c>
      <c r="C124" s="239">
        <f>0.801+0.3488</f>
        <v>1.1498</v>
      </c>
      <c r="D124" s="239">
        <f>0.79</f>
        <v>0.79</v>
      </c>
      <c r="E124" s="239">
        <v>1.8</v>
      </c>
      <c r="F124" s="239">
        <v>0.709</v>
      </c>
      <c r="G124" s="239">
        <v>0.68</v>
      </c>
      <c r="H124" s="131">
        <v>4.51</v>
      </c>
      <c r="I124" s="131">
        <v>3.543</v>
      </c>
      <c r="J124" s="131">
        <v>5.73</v>
      </c>
      <c r="K124" s="131">
        <f>4.91/9*12</f>
        <v>6.546666666666667</v>
      </c>
      <c r="L124" s="131">
        <v>7</v>
      </c>
      <c r="M124" s="131">
        <f>L124*103.6%</f>
        <v>7.252000000000001</v>
      </c>
      <c r="N124" s="131">
        <f>M124*103.8%</f>
        <v>7.527576000000001</v>
      </c>
      <c r="O124" s="131">
        <f>N124*103.4%</f>
        <v>7.783513584000001</v>
      </c>
    </row>
    <row r="125" spans="1:15" ht="12.75">
      <c r="A125" s="224" t="s">
        <v>366</v>
      </c>
      <c r="B125" s="108" t="s">
        <v>365</v>
      </c>
      <c r="C125" s="239">
        <f>12.131+5.94</f>
        <v>18.071</v>
      </c>
      <c r="D125" s="239">
        <v>15.28</v>
      </c>
      <c r="E125" s="239">
        <v>13.3</v>
      </c>
      <c r="F125" s="239">
        <v>14.186</v>
      </c>
      <c r="G125" s="239">
        <v>16.4</v>
      </c>
      <c r="H125" s="131">
        <v>16.63</v>
      </c>
      <c r="I125" s="131">
        <v>20.701</v>
      </c>
      <c r="J125" s="131">
        <v>7.468</v>
      </c>
      <c r="K125" s="131">
        <v>8.5</v>
      </c>
      <c r="L125" s="131">
        <v>9</v>
      </c>
      <c r="M125" s="131">
        <f aca="true" t="shared" si="22" ref="M125:M131">L125*103.6%</f>
        <v>9.324</v>
      </c>
      <c r="N125" s="131">
        <f aca="true" t="shared" si="23" ref="N125:N131">M125*103.8%</f>
        <v>9.678312</v>
      </c>
      <c r="O125" s="131">
        <f aca="true" t="shared" si="24" ref="O125:O131">N125*103.4%</f>
        <v>10.007374608000001</v>
      </c>
    </row>
    <row r="126" spans="1:15" ht="12.75">
      <c r="A126" s="224" t="s">
        <v>367</v>
      </c>
      <c r="B126" s="108" t="s">
        <v>365</v>
      </c>
      <c r="C126" s="239">
        <f>17.866+3.525</f>
        <v>21.391</v>
      </c>
      <c r="D126" s="239">
        <v>78.1</v>
      </c>
      <c r="E126" s="239">
        <v>33</v>
      </c>
      <c r="F126" s="239">
        <v>27.247</v>
      </c>
      <c r="G126" s="239">
        <v>21.39</v>
      </c>
      <c r="H126" s="131">
        <v>62.5</v>
      </c>
      <c r="I126" s="131">
        <v>63.07</v>
      </c>
      <c r="J126" s="131">
        <v>76.281</v>
      </c>
      <c r="K126" s="131">
        <f>53.983/9*12</f>
        <v>71.97733333333333</v>
      </c>
      <c r="L126" s="131">
        <v>73</v>
      </c>
      <c r="M126" s="131">
        <f t="shared" si="22"/>
        <v>75.628</v>
      </c>
      <c r="N126" s="131">
        <f t="shared" si="23"/>
        <v>78.501864</v>
      </c>
      <c r="O126" s="131">
        <f t="shared" si="24"/>
        <v>81.170927376</v>
      </c>
    </row>
    <row r="127" spans="1:15" ht="12.75">
      <c r="A127" s="224" t="s">
        <v>368</v>
      </c>
      <c r="B127" s="108" t="s">
        <v>365</v>
      </c>
      <c r="C127" s="239">
        <f>53.471+17.115</f>
        <v>70.586</v>
      </c>
      <c r="D127" s="239">
        <v>81.53</v>
      </c>
      <c r="E127" s="239">
        <v>30.3</v>
      </c>
      <c r="F127" s="239">
        <v>37.872</v>
      </c>
      <c r="G127" s="239">
        <v>54.68</v>
      </c>
      <c r="H127" s="131">
        <v>67.65</v>
      </c>
      <c r="I127" s="131">
        <v>65.678</v>
      </c>
      <c r="J127" s="131">
        <v>1.642</v>
      </c>
      <c r="K127" s="131">
        <f>1.987/9*12</f>
        <v>2.6493333333333338</v>
      </c>
      <c r="L127" s="131">
        <v>3</v>
      </c>
      <c r="M127" s="131">
        <f t="shared" si="22"/>
        <v>3.108</v>
      </c>
      <c r="N127" s="131">
        <f t="shared" si="23"/>
        <v>3.2261040000000003</v>
      </c>
      <c r="O127" s="131">
        <f t="shared" si="24"/>
        <v>3.3357915360000003</v>
      </c>
    </row>
    <row r="128" spans="1:15" ht="12.75">
      <c r="A128" s="224" t="s">
        <v>369</v>
      </c>
      <c r="B128" s="108" t="s">
        <v>365</v>
      </c>
      <c r="C128" s="239">
        <f>0.161+0.7181</f>
        <v>0.8791</v>
      </c>
      <c r="D128" s="239">
        <v>1.11</v>
      </c>
      <c r="E128" s="239">
        <f>0.789+0.844</f>
        <v>1.633</v>
      </c>
      <c r="F128" s="239">
        <v>0.868</v>
      </c>
      <c r="G128" s="239">
        <v>1.14</v>
      </c>
      <c r="H128" s="131">
        <v>0.9</v>
      </c>
      <c r="I128" s="131">
        <f>0.845+0.624</f>
        <v>1.4689999999999999</v>
      </c>
      <c r="J128" s="131">
        <f>1.053+2.276</f>
        <v>3.3289999999999997</v>
      </c>
      <c r="K128" s="131">
        <f>1.442/9*12+0.846/9*12</f>
        <v>3.0506666666666664</v>
      </c>
      <c r="L128" s="131">
        <v>3.5</v>
      </c>
      <c r="M128" s="131">
        <f t="shared" si="22"/>
        <v>3.6260000000000003</v>
      </c>
      <c r="N128" s="131">
        <f t="shared" si="23"/>
        <v>3.7637880000000004</v>
      </c>
      <c r="O128" s="131">
        <f t="shared" si="24"/>
        <v>3.8917567920000007</v>
      </c>
    </row>
    <row r="129" spans="1:15" ht="12.75">
      <c r="A129" s="224" t="s">
        <v>370</v>
      </c>
      <c r="B129" s="108" t="s">
        <v>365</v>
      </c>
      <c r="C129" s="239">
        <f>0.7703+3.7455</f>
        <v>4.5158</v>
      </c>
      <c r="D129" s="239">
        <v>4.69</v>
      </c>
      <c r="E129" s="239">
        <f>5.8+0.955</f>
        <v>6.755</v>
      </c>
      <c r="F129" s="239">
        <f>6.549+1.053</f>
        <v>7.602</v>
      </c>
      <c r="G129" s="239">
        <f>1.053+10.218</f>
        <v>11.271</v>
      </c>
      <c r="H129" s="131">
        <v>8.84</v>
      </c>
      <c r="I129" s="131">
        <v>3.717</v>
      </c>
      <c r="J129" s="131">
        <v>6.475</v>
      </c>
      <c r="K129" s="131">
        <f>10.314/9*12</f>
        <v>13.751999999999999</v>
      </c>
      <c r="L129" s="131">
        <v>15</v>
      </c>
      <c r="M129" s="131">
        <f t="shared" si="22"/>
        <v>15.540000000000001</v>
      </c>
      <c r="N129" s="131">
        <f t="shared" si="23"/>
        <v>16.13052</v>
      </c>
      <c r="O129" s="131">
        <f t="shared" si="24"/>
        <v>16.67895768</v>
      </c>
    </row>
    <row r="130" spans="1:15" ht="12.75">
      <c r="A130" s="224" t="s">
        <v>371</v>
      </c>
      <c r="B130" s="108" t="s">
        <v>365</v>
      </c>
      <c r="C130" s="239">
        <v>1.659</v>
      </c>
      <c r="D130" s="239">
        <v>2.302</v>
      </c>
      <c r="E130" s="239">
        <v>3.6</v>
      </c>
      <c r="F130" s="239">
        <v>3.595</v>
      </c>
      <c r="G130" s="239">
        <v>6.48</v>
      </c>
      <c r="H130" s="131">
        <v>7.2</v>
      </c>
      <c r="I130" s="131">
        <v>6.216</v>
      </c>
      <c r="J130" s="131">
        <v>27.769</v>
      </c>
      <c r="K130" s="131">
        <f>11.086/9*12</f>
        <v>14.781333333333334</v>
      </c>
      <c r="L130" s="131">
        <v>16</v>
      </c>
      <c r="M130" s="131">
        <f t="shared" si="22"/>
        <v>16.576</v>
      </c>
      <c r="N130" s="131">
        <f t="shared" si="23"/>
        <v>17.205888</v>
      </c>
      <c r="O130" s="131">
        <f t="shared" si="24"/>
        <v>17.790888192</v>
      </c>
    </row>
    <row r="131" spans="1:15" ht="12.75">
      <c r="A131" s="224" t="s">
        <v>372</v>
      </c>
      <c r="B131" s="108" t="s">
        <v>365</v>
      </c>
      <c r="C131" s="239">
        <f>0.0988+0.4109+1.0634</f>
        <v>1.5731</v>
      </c>
      <c r="D131" s="239">
        <v>0.39</v>
      </c>
      <c r="E131" s="239">
        <v>0.7</v>
      </c>
      <c r="F131" s="239">
        <f>0.575+0.943+4.58</f>
        <v>6.098</v>
      </c>
      <c r="G131" s="239">
        <f>0.65+1.7</f>
        <v>2.35</v>
      </c>
      <c r="H131" s="131">
        <f>1.3+0.81</f>
        <v>2.1100000000000003</v>
      </c>
      <c r="I131" s="131">
        <v>1.366</v>
      </c>
      <c r="J131" s="131">
        <v>0.195</v>
      </c>
      <c r="K131" s="131">
        <v>0.8</v>
      </c>
      <c r="L131" s="131">
        <v>2</v>
      </c>
      <c r="M131" s="131">
        <f t="shared" si="22"/>
        <v>2.072</v>
      </c>
      <c r="N131" s="131">
        <f t="shared" si="23"/>
        <v>2.150736</v>
      </c>
      <c r="O131" s="131">
        <f t="shared" si="24"/>
        <v>2.223861024</v>
      </c>
    </row>
    <row r="132" spans="1:15" ht="12.75">
      <c r="A132" s="214" t="s">
        <v>373</v>
      </c>
      <c r="B132" s="108" t="s">
        <v>365</v>
      </c>
      <c r="C132" s="131">
        <f>SUM(C135:C137)</f>
        <v>26.354</v>
      </c>
      <c r="D132" s="131">
        <f>SUM(D135:D137)</f>
        <v>45.53399999999999</v>
      </c>
      <c r="E132" s="131">
        <f aca="true" t="shared" si="25" ref="E132:O132">SUM(E135:E138)</f>
        <v>85.76485</v>
      </c>
      <c r="F132" s="131">
        <f t="shared" si="25"/>
        <v>88.322</v>
      </c>
      <c r="G132" s="131">
        <f t="shared" si="25"/>
        <v>84.874</v>
      </c>
      <c r="H132" s="131">
        <f t="shared" si="25"/>
        <v>88.275</v>
      </c>
      <c r="I132" s="131">
        <f>SUM(I135:I138)</f>
        <v>91.069</v>
      </c>
      <c r="J132" s="131">
        <f t="shared" si="25"/>
        <v>117.32300000000001</v>
      </c>
      <c r="K132" s="131">
        <f t="shared" si="25"/>
        <v>131.10000000000002</v>
      </c>
      <c r="L132" s="131">
        <f>SUM(L135:L138)</f>
        <v>106.019</v>
      </c>
      <c r="M132" s="131">
        <f t="shared" si="25"/>
        <v>117.77</v>
      </c>
      <c r="N132" s="131">
        <f t="shared" si="25"/>
        <v>124.7</v>
      </c>
      <c r="O132" s="204">
        <f t="shared" si="25"/>
        <v>127.3</v>
      </c>
    </row>
    <row r="133" spans="1:15" ht="15" customHeight="1">
      <c r="A133" s="107"/>
      <c r="B133" s="108" t="s">
        <v>374</v>
      </c>
      <c r="C133" s="241"/>
      <c r="D133" s="167">
        <f aca="true" t="shared" si="26" ref="D133:J133">SUM(D132/C132*100)</f>
        <v>172.77832587083552</v>
      </c>
      <c r="E133" s="167">
        <f t="shared" si="26"/>
        <v>188.35342820749332</v>
      </c>
      <c r="F133" s="167">
        <f t="shared" si="26"/>
        <v>102.98158278129095</v>
      </c>
      <c r="G133" s="167">
        <f t="shared" si="26"/>
        <v>96.09610289622064</v>
      </c>
      <c r="H133" s="242">
        <f t="shared" si="26"/>
        <v>104.00711643141601</v>
      </c>
      <c r="I133" s="242">
        <f t="shared" si="26"/>
        <v>103.1651090342679</v>
      </c>
      <c r="J133" s="242">
        <f t="shared" si="26"/>
        <v>128.828690333703</v>
      </c>
      <c r="K133" s="127">
        <f>SUM((K132/J132)*100)</f>
        <v>111.74279553028819</v>
      </c>
      <c r="L133" s="127">
        <f>SUM((L132/K132)*100)</f>
        <v>80.8688024408848</v>
      </c>
      <c r="M133" s="127">
        <f>SUM((M132/K132)*100)</f>
        <v>89.83218916857358</v>
      </c>
      <c r="N133" s="242">
        <f>SUM(N132/M132*100)</f>
        <v>105.88435085335826</v>
      </c>
      <c r="O133" s="243">
        <f>SUM(O132/N132*100)</f>
        <v>102.08500400962308</v>
      </c>
    </row>
    <row r="134" spans="1:15" ht="12" customHeight="1">
      <c r="A134" s="406" t="s">
        <v>375</v>
      </c>
      <c r="B134" s="407"/>
      <c r="C134" s="407"/>
      <c r="D134" s="407"/>
      <c r="E134" s="407"/>
      <c r="F134" s="407"/>
      <c r="G134" s="407"/>
      <c r="H134" s="407"/>
      <c r="I134" s="407"/>
      <c r="J134" s="407"/>
      <c r="K134" s="407"/>
      <c r="L134" s="407"/>
      <c r="M134" s="408"/>
      <c r="N134" s="408"/>
      <c r="O134" s="388"/>
    </row>
    <row r="135" spans="1:15" ht="12.75">
      <c r="A135" s="107" t="s">
        <v>376</v>
      </c>
      <c r="B135" s="108" t="s">
        <v>365</v>
      </c>
      <c r="C135" s="148">
        <f>3.347+6.669+5.35</f>
        <v>15.366</v>
      </c>
      <c r="D135" s="148">
        <f>D172*140/1000</f>
        <v>32.242</v>
      </c>
      <c r="E135" s="148">
        <f>E172*150/1000</f>
        <v>61.40085</v>
      </c>
      <c r="F135" s="148">
        <f aca="true" t="shared" si="27" ref="F135:O135">F34+F36</f>
        <v>67.366</v>
      </c>
      <c r="G135" s="148">
        <f t="shared" si="27"/>
        <v>63.43900000000001</v>
      </c>
      <c r="H135" s="148">
        <f t="shared" si="27"/>
        <v>67.53999999999999</v>
      </c>
      <c r="I135" s="148">
        <f t="shared" si="27"/>
        <v>69.909</v>
      </c>
      <c r="J135" s="148">
        <f t="shared" si="27"/>
        <v>91.41300000000001</v>
      </c>
      <c r="K135" s="148">
        <f>K34+K36</f>
        <v>102.4</v>
      </c>
      <c r="L135" s="148">
        <f>L34+L36</f>
        <v>78.119</v>
      </c>
      <c r="M135" s="148">
        <f t="shared" si="27"/>
        <v>87.17</v>
      </c>
      <c r="N135" s="148">
        <f t="shared" si="27"/>
        <v>91</v>
      </c>
      <c r="O135" s="149">
        <f t="shared" si="27"/>
        <v>91</v>
      </c>
    </row>
    <row r="136" spans="1:15" ht="12.75">
      <c r="A136" s="107" t="s">
        <v>377</v>
      </c>
      <c r="B136" s="108" t="s">
        <v>365</v>
      </c>
      <c r="C136" s="131">
        <f>7.989+2.06</f>
        <v>10.049</v>
      </c>
      <c r="D136" s="244">
        <v>12.492</v>
      </c>
      <c r="E136" s="244">
        <f>10.5+3.3</f>
        <v>13.8</v>
      </c>
      <c r="F136" s="244">
        <v>11.83</v>
      </c>
      <c r="G136" s="244">
        <f aca="true" t="shared" si="28" ref="G136:O136">G21-G138</f>
        <v>12.799999999999997</v>
      </c>
      <c r="H136" s="244">
        <f t="shared" si="28"/>
        <v>12.43</v>
      </c>
      <c r="I136" s="244">
        <f t="shared" si="28"/>
        <v>11.559999999999999</v>
      </c>
      <c r="J136" s="244">
        <f t="shared" si="28"/>
        <v>15.809999999999999</v>
      </c>
      <c r="K136" s="244">
        <f t="shared" si="28"/>
        <v>17.7</v>
      </c>
      <c r="L136" s="244">
        <f>L21-L138</f>
        <v>16.5</v>
      </c>
      <c r="M136" s="244">
        <f t="shared" si="28"/>
        <v>18.3</v>
      </c>
      <c r="N136" s="244">
        <f t="shared" si="28"/>
        <v>20.3</v>
      </c>
      <c r="O136" s="245">
        <f t="shared" si="28"/>
        <v>21.8</v>
      </c>
    </row>
    <row r="137" spans="1:15" ht="12.75">
      <c r="A137" s="107" t="s">
        <v>378</v>
      </c>
      <c r="B137" s="108" t="s">
        <v>365</v>
      </c>
      <c r="C137" s="131">
        <f>0.869+0.07</f>
        <v>0.9390000000000001</v>
      </c>
      <c r="D137" s="244">
        <v>0.8</v>
      </c>
      <c r="E137" s="244">
        <v>4.464</v>
      </c>
      <c r="F137" s="244">
        <f aca="true" t="shared" si="29" ref="F137:O137">F39</f>
        <v>0.126</v>
      </c>
      <c r="G137" s="244">
        <f>G39</f>
        <v>0.835</v>
      </c>
      <c r="H137" s="244">
        <f>H39</f>
        <v>1.305</v>
      </c>
      <c r="I137" s="244">
        <f>I39</f>
        <v>1.1</v>
      </c>
      <c r="J137" s="244">
        <f t="shared" si="29"/>
        <v>1.3</v>
      </c>
      <c r="K137" s="244">
        <f>K39</f>
        <v>1.2</v>
      </c>
      <c r="L137" s="244">
        <f>L39</f>
        <v>1.5</v>
      </c>
      <c r="M137" s="244">
        <f t="shared" si="29"/>
        <v>1.6</v>
      </c>
      <c r="N137" s="244">
        <f t="shared" si="29"/>
        <v>1.7</v>
      </c>
      <c r="O137" s="245">
        <f t="shared" si="29"/>
        <v>1.8</v>
      </c>
    </row>
    <row r="138" spans="1:15" ht="12.75">
      <c r="A138" s="107" t="s">
        <v>379</v>
      </c>
      <c r="B138" s="108" t="s">
        <v>365</v>
      </c>
      <c r="C138" s="131">
        <v>0</v>
      </c>
      <c r="D138" s="244">
        <v>0.44</v>
      </c>
      <c r="E138" s="244">
        <v>6.1</v>
      </c>
      <c r="F138" s="244">
        <v>9</v>
      </c>
      <c r="G138" s="244">
        <v>7.8</v>
      </c>
      <c r="H138" s="244">
        <v>7</v>
      </c>
      <c r="I138" s="244">
        <v>8.5</v>
      </c>
      <c r="J138" s="244">
        <v>8.8</v>
      </c>
      <c r="K138" s="244">
        <v>9.8</v>
      </c>
      <c r="L138" s="244">
        <v>9.9</v>
      </c>
      <c r="M138" s="244">
        <v>10.7</v>
      </c>
      <c r="N138" s="244">
        <v>11.7</v>
      </c>
      <c r="O138" s="245">
        <v>12.7</v>
      </c>
    </row>
    <row r="139" spans="1:15" ht="15.75">
      <c r="A139" s="386" t="s">
        <v>380</v>
      </c>
      <c r="B139" s="409"/>
      <c r="C139" s="387"/>
      <c r="D139" s="387"/>
      <c r="E139" s="387"/>
      <c r="F139" s="387"/>
      <c r="G139" s="387"/>
      <c r="H139" s="387"/>
      <c r="I139" s="387"/>
      <c r="J139" s="387"/>
      <c r="K139" s="387"/>
      <c r="L139" s="387"/>
      <c r="M139" s="387"/>
      <c r="N139" s="387"/>
      <c r="O139" s="388"/>
    </row>
    <row r="140" spans="1:15" ht="12.75" customHeight="1">
      <c r="A140" s="107" t="s">
        <v>381</v>
      </c>
      <c r="B140" s="108" t="s">
        <v>382</v>
      </c>
      <c r="C140" s="202" t="s">
        <v>296</v>
      </c>
      <c r="D140" s="202">
        <v>0</v>
      </c>
      <c r="E140" s="198" t="s">
        <v>383</v>
      </c>
      <c r="F140" s="198" t="s">
        <v>383</v>
      </c>
      <c r="G140" s="198" t="s">
        <v>384</v>
      </c>
      <c r="H140" s="198" t="s">
        <v>383</v>
      </c>
      <c r="I140" s="198" t="s">
        <v>385</v>
      </c>
      <c r="J140" s="198" t="s">
        <v>383</v>
      </c>
      <c r="K140" s="198" t="s">
        <v>383</v>
      </c>
      <c r="L140" s="198" t="s">
        <v>616</v>
      </c>
      <c r="M140" s="246">
        <v>2000</v>
      </c>
      <c r="N140" s="246">
        <v>2000</v>
      </c>
      <c r="O140" s="247">
        <v>2000</v>
      </c>
    </row>
    <row r="141" spans="1:15" ht="22.5">
      <c r="A141" s="107" t="s">
        <v>386</v>
      </c>
      <c r="B141" s="108" t="s">
        <v>387</v>
      </c>
      <c r="C141" s="248">
        <v>28.35</v>
      </c>
      <c r="D141" s="248">
        <v>25.26</v>
      </c>
      <c r="E141" s="248">
        <f>(111299.91+31700.9)/E7/1000</f>
        <v>27.0988838355126</v>
      </c>
      <c r="F141" s="248">
        <f>134885.49/F7/1000</f>
        <v>25.202819506726453</v>
      </c>
      <c r="G141" s="248">
        <f>(133855.39+G140)/G7/1000</f>
        <v>26.107350709978608</v>
      </c>
      <c r="H141" s="234">
        <f>(131831.6+H140)/H7/1000</f>
        <v>25.366865499326533</v>
      </c>
      <c r="I141" s="234">
        <f>(123135.42+I140)/I7/1000</f>
        <v>24.201721983600155</v>
      </c>
      <c r="J141" s="234">
        <f>(131831.6+J140)/J7/1000</f>
        <v>27.38504362276693</v>
      </c>
      <c r="K141" s="234">
        <f>(127340.82+K140)/K7/1000</f>
        <v>27.139987212276214</v>
      </c>
      <c r="L141" s="234">
        <f>(127340.82+L140)/L7/1000</f>
        <v>27.27062553191489</v>
      </c>
      <c r="M141" s="234">
        <f>(128171.94+M140)/M7/1000</f>
        <v>27.40461894736842</v>
      </c>
      <c r="N141" s="234">
        <f>(130171.94+N140)/N7/1000</f>
        <v>27.535820833333336</v>
      </c>
      <c r="O141" s="249">
        <f>(132171.94+O140)/O7/1000</f>
        <v>27.6643175257732</v>
      </c>
    </row>
    <row r="142" spans="1:15" ht="22.5">
      <c r="A142" s="107" t="s">
        <v>388</v>
      </c>
      <c r="B142" s="108" t="s">
        <v>274</v>
      </c>
      <c r="C142" s="198" t="s">
        <v>389</v>
      </c>
      <c r="D142" s="198" t="s">
        <v>390</v>
      </c>
      <c r="E142" s="248">
        <v>590.7679</v>
      </c>
      <c r="F142" s="248">
        <v>616.6904</v>
      </c>
      <c r="G142" s="131">
        <f>E142*105.9%</f>
        <v>625.6232061000002</v>
      </c>
      <c r="H142" s="250">
        <f>732.03/1.18</f>
        <v>620.3644067796611</v>
      </c>
      <c r="I142" s="250">
        <v>606.252</v>
      </c>
      <c r="J142" s="250">
        <v>504.87</v>
      </c>
      <c r="K142" s="250">
        <v>519.54</v>
      </c>
      <c r="L142" s="250">
        <v>581.88</v>
      </c>
      <c r="M142" s="250">
        <v>651.71</v>
      </c>
      <c r="N142" s="250">
        <v>729.92</v>
      </c>
      <c r="O142" s="251">
        <v>817.51</v>
      </c>
    </row>
    <row r="143" spans="1:15" ht="14.25" customHeight="1">
      <c r="A143" s="107" t="s">
        <v>391</v>
      </c>
      <c r="B143" s="108" t="s">
        <v>271</v>
      </c>
      <c r="C143" s="229" t="s">
        <v>392</v>
      </c>
      <c r="D143" s="229" t="s">
        <v>393</v>
      </c>
      <c r="E143" s="229" t="s">
        <v>394</v>
      </c>
      <c r="F143" s="229" t="s">
        <v>395</v>
      </c>
      <c r="G143" s="229" t="s">
        <v>396</v>
      </c>
      <c r="H143" s="252">
        <v>0.29</v>
      </c>
      <c r="I143" s="252">
        <v>0.24</v>
      </c>
      <c r="J143" s="252">
        <v>0.9167</v>
      </c>
      <c r="K143" s="252">
        <v>0.976</v>
      </c>
      <c r="L143" s="252">
        <v>0.95</v>
      </c>
      <c r="M143" s="252">
        <v>0.96</v>
      </c>
      <c r="N143" s="252">
        <v>0.96</v>
      </c>
      <c r="O143" s="253">
        <v>0.96</v>
      </c>
    </row>
    <row r="144" spans="1:15" ht="15" customHeight="1">
      <c r="A144" s="107" t="s">
        <v>397</v>
      </c>
      <c r="B144" s="108" t="s">
        <v>308</v>
      </c>
      <c r="C144" s="198" t="s">
        <v>398</v>
      </c>
      <c r="D144" s="198" t="s">
        <v>399</v>
      </c>
      <c r="E144" s="248">
        <f>172+405+49+219+21+101+33+39+199</f>
        <v>1238</v>
      </c>
      <c r="F144" s="248">
        <v>1212</v>
      </c>
      <c r="G144" s="246">
        <f>189+390+537</f>
        <v>1116</v>
      </c>
      <c r="H144" s="246">
        <f>202+506+53+419</f>
        <v>1180</v>
      </c>
      <c r="I144" s="246">
        <f>198+412+483</f>
        <v>1093</v>
      </c>
      <c r="J144" s="246">
        <f>192+361+460</f>
        <v>1013</v>
      </c>
      <c r="K144" s="246">
        <f>195+842</f>
        <v>1037</v>
      </c>
      <c r="L144" s="246">
        <f>200+823</f>
        <v>1023</v>
      </c>
      <c r="M144" s="246">
        <f>200+823</f>
        <v>1023</v>
      </c>
      <c r="N144" s="246">
        <v>1023</v>
      </c>
      <c r="O144" s="247">
        <v>1023</v>
      </c>
    </row>
    <row r="145" spans="1:15" ht="15.75" customHeight="1" hidden="1">
      <c r="A145" s="107"/>
      <c r="B145" s="108"/>
      <c r="C145" s="198"/>
      <c r="D145" s="198"/>
      <c r="E145" s="254" t="s">
        <v>400</v>
      </c>
      <c r="F145" s="254" t="s">
        <v>400</v>
      </c>
      <c r="G145" s="254"/>
      <c r="H145" s="254"/>
      <c r="I145" s="198" t="s">
        <v>400</v>
      </c>
      <c r="J145" s="198" t="s">
        <v>400</v>
      </c>
      <c r="K145" s="198"/>
      <c r="L145" s="198"/>
      <c r="M145" s="198" t="s">
        <v>401</v>
      </c>
      <c r="N145" s="198" t="s">
        <v>402</v>
      </c>
      <c r="O145" s="255" t="s">
        <v>402</v>
      </c>
    </row>
    <row r="146" spans="1:15" ht="15.75" customHeight="1">
      <c r="A146" s="107" t="s">
        <v>403</v>
      </c>
      <c r="B146" s="108" t="s">
        <v>308</v>
      </c>
      <c r="C146" s="198"/>
      <c r="D146" s="198"/>
      <c r="E146" s="198"/>
      <c r="F146" s="198"/>
      <c r="G146" s="198"/>
      <c r="H146" s="198" t="s">
        <v>404</v>
      </c>
      <c r="I146" s="198" t="s">
        <v>405</v>
      </c>
      <c r="J146" s="198" t="s">
        <v>406</v>
      </c>
      <c r="K146" s="198" t="s">
        <v>617</v>
      </c>
      <c r="L146" s="198" t="s">
        <v>618</v>
      </c>
      <c r="M146" s="198" t="s">
        <v>407</v>
      </c>
      <c r="N146" s="198" t="s">
        <v>407</v>
      </c>
      <c r="O146" s="255" t="s">
        <v>407</v>
      </c>
    </row>
    <row r="147" spans="1:15" ht="13.5" customHeight="1" hidden="1">
      <c r="A147" s="107" t="s">
        <v>408</v>
      </c>
      <c r="B147" s="108" t="s">
        <v>308</v>
      </c>
      <c r="C147" s="198" t="s">
        <v>409</v>
      </c>
      <c r="D147" s="198" t="s">
        <v>176</v>
      </c>
      <c r="E147" s="198" t="s">
        <v>410</v>
      </c>
      <c r="F147" s="198" t="s">
        <v>411</v>
      </c>
      <c r="G147" s="198" t="s">
        <v>412</v>
      </c>
      <c r="H147" s="198"/>
      <c r="I147" s="198"/>
      <c r="J147" s="198" t="s">
        <v>383</v>
      </c>
      <c r="K147" s="198"/>
      <c r="L147" s="198"/>
      <c r="M147" s="198" t="s">
        <v>383</v>
      </c>
      <c r="N147" s="198" t="s">
        <v>383</v>
      </c>
      <c r="O147" s="255" t="s">
        <v>383</v>
      </c>
    </row>
    <row r="148" spans="1:15" ht="12.75">
      <c r="A148" s="391" t="s">
        <v>413</v>
      </c>
      <c r="B148" s="398"/>
      <c r="C148" s="398"/>
      <c r="D148" s="398"/>
      <c r="E148" s="398"/>
      <c r="F148" s="398"/>
      <c r="G148" s="398"/>
      <c r="H148" s="398"/>
      <c r="I148" s="398"/>
      <c r="J148" s="398"/>
      <c r="K148" s="398"/>
      <c r="L148" s="398"/>
      <c r="M148" s="398"/>
      <c r="N148" s="398"/>
      <c r="O148" s="410"/>
    </row>
    <row r="149" spans="1:15" ht="22.5">
      <c r="A149" s="107" t="s">
        <v>414</v>
      </c>
      <c r="B149" s="108" t="s">
        <v>415</v>
      </c>
      <c r="C149" s="186">
        <v>22.5</v>
      </c>
      <c r="D149" s="186">
        <v>11</v>
      </c>
      <c r="E149" s="186">
        <v>11</v>
      </c>
      <c r="F149" s="186">
        <f>62/F7</f>
        <v>11.584454409566517</v>
      </c>
      <c r="G149" s="186">
        <f>62/G7</f>
        <v>12.059910523244504</v>
      </c>
      <c r="H149" s="256">
        <f>62/H7</f>
        <v>11.929959592072349</v>
      </c>
      <c r="I149" s="256">
        <f aca="true" t="shared" si="30" ref="I149:O149">52/I7</f>
        <v>10.152284263959391</v>
      </c>
      <c r="J149" s="256">
        <f t="shared" si="30"/>
        <v>10.80182800166182</v>
      </c>
      <c r="K149" s="256">
        <f t="shared" si="30"/>
        <v>11.082693947144074</v>
      </c>
      <c r="L149" s="256">
        <f>52/L7</f>
        <v>11.063829787234042</v>
      </c>
      <c r="M149" s="256">
        <f t="shared" si="30"/>
        <v>10.947368421052632</v>
      </c>
      <c r="N149" s="256">
        <f t="shared" si="30"/>
        <v>10.833333333333334</v>
      </c>
      <c r="O149" s="257">
        <f t="shared" si="30"/>
        <v>10.721649484536083</v>
      </c>
    </row>
    <row r="150" spans="1:15" ht="33.75">
      <c r="A150" s="117" t="s">
        <v>416</v>
      </c>
      <c r="B150" s="108" t="s">
        <v>417</v>
      </c>
      <c r="C150" s="186">
        <v>63.6</v>
      </c>
      <c r="D150" s="186">
        <v>42</v>
      </c>
      <c r="E150" s="186">
        <f>132.1/4.937</f>
        <v>26.75713996354061</v>
      </c>
      <c r="F150" s="258">
        <f>143/2.983</f>
        <v>47.93831713040563</v>
      </c>
      <c r="G150" s="258">
        <f>150/2.734</f>
        <v>54.864667154352595</v>
      </c>
      <c r="H150" s="259">
        <f>183.2/3.414</f>
        <v>53.6613942589338</v>
      </c>
      <c r="I150" s="259">
        <f>185.2/3.469</f>
        <v>53.38714326895359</v>
      </c>
      <c r="J150" s="259">
        <f>242.2/3.231</f>
        <v>74.96131228721758</v>
      </c>
      <c r="K150" s="259">
        <f>237/3.405</f>
        <v>69.60352422907489</v>
      </c>
      <c r="L150" s="259">
        <f>237/3.405</f>
        <v>69.60352422907489</v>
      </c>
      <c r="M150" s="259">
        <f>238/3.42</f>
        <v>69.5906432748538</v>
      </c>
      <c r="N150" s="259">
        <f>238/3.42</f>
        <v>69.5906432748538</v>
      </c>
      <c r="O150" s="260">
        <f>238/3.402</f>
        <v>69.95884773662551</v>
      </c>
    </row>
    <row r="151" spans="1:15" ht="33.75">
      <c r="A151" s="117" t="s">
        <v>418</v>
      </c>
      <c r="B151" s="108" t="s">
        <v>417</v>
      </c>
      <c r="C151" s="186">
        <v>4</v>
      </c>
      <c r="D151" s="186">
        <v>4</v>
      </c>
      <c r="E151" s="186">
        <f>11.8/0.34</f>
        <v>34.705882352941174</v>
      </c>
      <c r="F151" s="186">
        <f>24.4/0.742</f>
        <v>32.884097035040426</v>
      </c>
      <c r="G151" s="186">
        <f>22.4/((176+376+211+159)/1000)</f>
        <v>24.295010845986983</v>
      </c>
      <c r="H151" s="188">
        <f>29.6/((367+175+157+210)/1000)</f>
        <v>32.563256325632565</v>
      </c>
      <c r="I151" s="188">
        <f>28.1/((350+169+159+208)/1000)</f>
        <v>31.715575620767495</v>
      </c>
      <c r="J151" s="188">
        <f>33.1/0.85</f>
        <v>38.94117647058824</v>
      </c>
      <c r="K151" s="188">
        <f>28.8/0.782</f>
        <v>36.828644501278774</v>
      </c>
      <c r="L151" s="188">
        <f>28.8/0.78</f>
        <v>36.92307692307692</v>
      </c>
      <c r="M151" s="188">
        <f>28.8/0.782</f>
        <v>36.828644501278774</v>
      </c>
      <c r="N151" s="188">
        <f>28.8/0.782</f>
        <v>36.828644501278774</v>
      </c>
      <c r="O151" s="189">
        <f>28.8/0.782</f>
        <v>36.828644501278774</v>
      </c>
    </row>
    <row r="152" spans="1:15" ht="22.5">
      <c r="A152" s="117" t="s">
        <v>419</v>
      </c>
      <c r="B152" s="108" t="s">
        <v>420</v>
      </c>
      <c r="C152" s="186">
        <v>5.8</v>
      </c>
      <c r="D152" s="186">
        <v>4</v>
      </c>
      <c r="E152" s="186">
        <f>26/E7</f>
        <v>4.927041879855978</v>
      </c>
      <c r="F152" s="186">
        <f>25/F7</f>
        <v>4.671150971599402</v>
      </c>
      <c r="G152" s="186">
        <f>29/G7</f>
        <v>5.640925889904688</v>
      </c>
      <c r="H152" s="186">
        <f>29/H7</f>
        <v>5.580142389840292</v>
      </c>
      <c r="I152" s="186">
        <f>28/I7</f>
        <v>5.4666146036704415</v>
      </c>
      <c r="J152" s="186">
        <f>26/J7</f>
        <v>5.40091400083091</v>
      </c>
      <c r="K152" s="186">
        <f>28/K7</f>
        <v>5.967604433077579</v>
      </c>
      <c r="L152" s="186">
        <f>28/L7</f>
        <v>5.957446808510638</v>
      </c>
      <c r="M152" s="186">
        <f>29/M7</f>
        <v>6.105263157894737</v>
      </c>
      <c r="N152" s="186">
        <f>29/N7</f>
        <v>6.041666666666667</v>
      </c>
      <c r="O152" s="223">
        <f>29/O7</f>
        <v>5.979381443298969</v>
      </c>
    </row>
    <row r="153" spans="1:15" ht="22.5">
      <c r="A153" s="117" t="s">
        <v>421</v>
      </c>
      <c r="B153" s="108" t="s">
        <v>420</v>
      </c>
      <c r="C153" s="186">
        <v>17.3</v>
      </c>
      <c r="D153" s="186">
        <v>11</v>
      </c>
      <c r="E153" s="186">
        <f>96/E7</f>
        <v>18.192154633314384</v>
      </c>
      <c r="F153" s="186">
        <f>85/F7</f>
        <v>15.881913303437965</v>
      </c>
      <c r="G153" s="186">
        <f>83/G7</f>
        <v>16.144718926278934</v>
      </c>
      <c r="H153" s="186">
        <f>85/H7</f>
        <v>16.355589763324996</v>
      </c>
      <c r="I153" s="186">
        <f>86/I7</f>
        <v>16.79031628270207</v>
      </c>
      <c r="J153" s="186">
        <f>84/J7</f>
        <v>17.449106771915247</v>
      </c>
      <c r="K153" s="186">
        <f>84/K7</f>
        <v>17.902813299232736</v>
      </c>
      <c r="L153" s="186">
        <f>84/L7</f>
        <v>17.872340425531913</v>
      </c>
      <c r="M153" s="186">
        <f>86/M7</f>
        <v>18.105263157894736</v>
      </c>
      <c r="N153" s="186">
        <f>86/N7</f>
        <v>17.916666666666668</v>
      </c>
      <c r="O153" s="223">
        <f>86/O7</f>
        <v>17.7319587628866</v>
      </c>
    </row>
    <row r="154" spans="1:15" ht="22.5">
      <c r="A154" s="117" t="s">
        <v>422</v>
      </c>
      <c r="B154" s="108" t="s">
        <v>423</v>
      </c>
      <c r="C154" s="186">
        <v>2</v>
      </c>
      <c r="D154" s="186">
        <v>2</v>
      </c>
      <c r="E154" s="186">
        <v>2</v>
      </c>
      <c r="F154" s="186">
        <f>9/F7</f>
        <v>1.6816143497757847</v>
      </c>
      <c r="G154" s="188">
        <f aca="true" t="shared" si="31" ref="G154:O154">7/G7</f>
        <v>1.3616028010114765</v>
      </c>
      <c r="H154" s="188">
        <f t="shared" si="31"/>
        <v>1.3469309216855878</v>
      </c>
      <c r="I154" s="188">
        <f t="shared" si="31"/>
        <v>1.3666536509176104</v>
      </c>
      <c r="J154" s="188">
        <f t="shared" si="31"/>
        <v>1.4540922309929372</v>
      </c>
      <c r="K154" s="188">
        <f t="shared" si="31"/>
        <v>1.4919011082693947</v>
      </c>
      <c r="L154" s="188">
        <f>7/L7</f>
        <v>1.4893617021276595</v>
      </c>
      <c r="M154" s="188">
        <f t="shared" si="31"/>
        <v>1.4736842105263157</v>
      </c>
      <c r="N154" s="188">
        <f t="shared" si="31"/>
        <v>1.4583333333333335</v>
      </c>
      <c r="O154" s="189">
        <f t="shared" si="31"/>
        <v>1.4432989690721651</v>
      </c>
    </row>
    <row r="155" spans="1:15" ht="22.5">
      <c r="A155" s="117" t="s">
        <v>424</v>
      </c>
      <c r="B155" s="108" t="s">
        <v>423</v>
      </c>
      <c r="C155" s="186">
        <v>1.75</v>
      </c>
      <c r="D155" s="186">
        <v>1.75</v>
      </c>
      <c r="E155" s="186">
        <v>1.75</v>
      </c>
      <c r="F155" s="186">
        <f>8/F7</f>
        <v>1.4947683109118086</v>
      </c>
      <c r="G155" s="188">
        <f aca="true" t="shared" si="32" ref="G155:O155">7/G7</f>
        <v>1.3616028010114765</v>
      </c>
      <c r="H155" s="188">
        <f t="shared" si="32"/>
        <v>1.3469309216855878</v>
      </c>
      <c r="I155" s="188">
        <f>7/I7</f>
        <v>1.3666536509176104</v>
      </c>
      <c r="J155" s="188">
        <f t="shared" si="32"/>
        <v>1.4540922309929372</v>
      </c>
      <c r="K155" s="188">
        <f t="shared" si="32"/>
        <v>1.4919011082693947</v>
      </c>
      <c r="L155" s="188">
        <f>7/L7</f>
        <v>1.4893617021276595</v>
      </c>
      <c r="M155" s="188">
        <f t="shared" si="32"/>
        <v>1.4736842105263157</v>
      </c>
      <c r="N155" s="188">
        <f t="shared" si="32"/>
        <v>1.4583333333333335</v>
      </c>
      <c r="O155" s="189">
        <f t="shared" si="32"/>
        <v>1.4432989690721651</v>
      </c>
    </row>
    <row r="156" spans="1:15" ht="12.75" hidden="1">
      <c r="A156" s="107"/>
      <c r="B156" s="108"/>
      <c r="C156" s="261"/>
      <c r="D156" s="261"/>
      <c r="E156" s="262">
        <v>787.8</v>
      </c>
      <c r="F156" s="262">
        <v>787.8</v>
      </c>
      <c r="G156" s="263"/>
      <c r="H156" s="264">
        <v>787.8</v>
      </c>
      <c r="I156" s="264">
        <v>787.8</v>
      </c>
      <c r="J156" s="264">
        <v>787.8</v>
      </c>
      <c r="K156" s="264"/>
      <c r="L156" s="264"/>
      <c r="M156" s="264">
        <v>788</v>
      </c>
      <c r="N156" s="264">
        <v>788</v>
      </c>
      <c r="O156" s="265">
        <v>788</v>
      </c>
    </row>
    <row r="157" spans="1:15" ht="22.5">
      <c r="A157" s="107" t="s">
        <v>425</v>
      </c>
      <c r="B157" s="108" t="s">
        <v>426</v>
      </c>
      <c r="C157" s="229" t="s">
        <v>427</v>
      </c>
      <c r="D157" s="229" t="s">
        <v>427</v>
      </c>
      <c r="E157" s="229" t="s">
        <v>427</v>
      </c>
      <c r="F157" s="229" t="s">
        <v>427</v>
      </c>
      <c r="G157" s="266" t="s">
        <v>427</v>
      </c>
      <c r="H157" s="266" t="s">
        <v>427</v>
      </c>
      <c r="I157" s="266" t="s">
        <v>427</v>
      </c>
      <c r="J157" s="266" t="s">
        <v>427</v>
      </c>
      <c r="K157" s="266" t="s">
        <v>427</v>
      </c>
      <c r="L157" s="266" t="s">
        <v>427</v>
      </c>
      <c r="M157" s="266" t="s">
        <v>427</v>
      </c>
      <c r="N157" s="266" t="s">
        <v>427</v>
      </c>
      <c r="O157" s="267" t="s">
        <v>427</v>
      </c>
    </row>
    <row r="158" spans="1:15" ht="17.25" customHeight="1" hidden="1">
      <c r="A158" s="386" t="s">
        <v>428</v>
      </c>
      <c r="B158" s="387"/>
      <c r="C158" s="387"/>
      <c r="D158" s="387"/>
      <c r="E158" s="387"/>
      <c r="F158" s="387"/>
      <c r="G158" s="387"/>
      <c r="H158" s="387"/>
      <c r="I158" s="387"/>
      <c r="J158" s="387"/>
      <c r="K158" s="387"/>
      <c r="L158" s="387"/>
      <c r="M158" s="387"/>
      <c r="N158" s="387"/>
      <c r="O158" s="388"/>
    </row>
    <row r="159" spans="1:15" ht="15.75" customHeight="1" hidden="1">
      <c r="A159" s="389" t="s">
        <v>429</v>
      </c>
      <c r="B159" s="390"/>
      <c r="C159" s="387"/>
      <c r="D159" s="387"/>
      <c r="E159" s="387"/>
      <c r="F159" s="387"/>
      <c r="G159" s="387"/>
      <c r="H159" s="387"/>
      <c r="I159" s="387"/>
      <c r="J159" s="387"/>
      <c r="K159" s="387"/>
      <c r="L159" s="387"/>
      <c r="M159" s="387"/>
      <c r="N159" s="387"/>
      <c r="O159" s="388"/>
    </row>
    <row r="160" spans="1:15" ht="12.75" hidden="1">
      <c r="A160" s="107" t="s">
        <v>267</v>
      </c>
      <c r="B160" s="108" t="s">
        <v>269</v>
      </c>
      <c r="C160" s="207">
        <v>2.1</v>
      </c>
      <c r="D160" s="207">
        <v>2.2</v>
      </c>
      <c r="E160" s="118">
        <f>(2.542487+0.195835)*1.5</f>
        <v>4.107483</v>
      </c>
      <c r="F160" s="118">
        <v>0</v>
      </c>
      <c r="G160" s="118">
        <f>3.1+0.069+3.5+0.23+4.8</f>
        <v>11.699000000000002</v>
      </c>
      <c r="H160" s="118">
        <v>0</v>
      </c>
      <c r="I160" s="131">
        <f>7.4+1.488</f>
        <v>8.888</v>
      </c>
      <c r="J160" s="131">
        <f>8.4+1.472</f>
        <v>9.872</v>
      </c>
      <c r="K160" s="131"/>
      <c r="L160" s="131"/>
      <c r="M160" s="131">
        <f>9.2+1.47</f>
        <v>10.67</v>
      </c>
      <c r="N160" s="131">
        <v>0</v>
      </c>
      <c r="O160" s="204">
        <v>0</v>
      </c>
    </row>
    <row r="161" spans="1:15" ht="12.75" hidden="1">
      <c r="A161" s="107" t="s">
        <v>430</v>
      </c>
      <c r="B161" s="108" t="s">
        <v>431</v>
      </c>
      <c r="C161" s="182">
        <v>392</v>
      </c>
      <c r="D161" s="182">
        <v>390</v>
      </c>
      <c r="E161" s="182">
        <v>385</v>
      </c>
      <c r="F161" s="182">
        <f>67.32+87.6</f>
        <v>154.92</v>
      </c>
      <c r="G161" s="182">
        <f>17+60.59</f>
        <v>77.59</v>
      </c>
      <c r="H161" s="182">
        <f>49.9+4.3</f>
        <v>54.199999999999996</v>
      </c>
      <c r="I161" s="182">
        <f>1370+5.844</f>
        <v>1375.844</v>
      </c>
      <c r="J161" s="182">
        <f>1640+5.934</f>
        <v>1645.934</v>
      </c>
      <c r="K161" s="182"/>
      <c r="L161" s="182"/>
      <c r="M161" s="182">
        <f>1640+6.012</f>
        <v>1646.012</v>
      </c>
      <c r="N161" s="182">
        <f>35.7+4.4</f>
        <v>40.1</v>
      </c>
      <c r="O161" s="213">
        <f>35.7+4.4</f>
        <v>40.1</v>
      </c>
    </row>
    <row r="162" spans="1:15" ht="22.5" hidden="1">
      <c r="A162" s="107" t="s">
        <v>432</v>
      </c>
      <c r="B162" s="108" t="s">
        <v>431</v>
      </c>
      <c r="C162" s="198" t="s">
        <v>433</v>
      </c>
      <c r="D162" s="198" t="s">
        <v>434</v>
      </c>
      <c r="E162" s="198" t="s">
        <v>434</v>
      </c>
      <c r="F162" s="246">
        <f>1706.988+1207</f>
        <v>2913.9880000000003</v>
      </c>
      <c r="G162" s="246">
        <f>1043+1434.74</f>
        <v>2477.74</v>
      </c>
      <c r="H162" s="246">
        <f>1.3+1164.8+101.5</f>
        <v>1267.6</v>
      </c>
      <c r="I162" s="246">
        <f>65.8+102.758+0.7</f>
        <v>169.25799999999998</v>
      </c>
      <c r="J162" s="246">
        <f>65.8+103.863+0.7</f>
        <v>170.363</v>
      </c>
      <c r="K162" s="246"/>
      <c r="L162" s="246"/>
      <c r="M162" s="246">
        <f>70+103.561+0.7</f>
        <v>174.261</v>
      </c>
      <c r="N162" s="246">
        <f>M162</f>
        <v>174.261</v>
      </c>
      <c r="O162" s="247">
        <f>M162</f>
        <v>174.261</v>
      </c>
    </row>
    <row r="163" spans="1:15" ht="12.75" hidden="1">
      <c r="A163" s="107" t="s">
        <v>435</v>
      </c>
      <c r="B163" s="108" t="s">
        <v>436</v>
      </c>
      <c r="C163" s="198" t="s">
        <v>437</v>
      </c>
      <c r="D163" s="198" t="s">
        <v>438</v>
      </c>
      <c r="E163" s="198" t="s">
        <v>439</v>
      </c>
      <c r="F163" s="246">
        <f>10705+469.682</f>
        <v>11174.682</v>
      </c>
      <c r="G163" s="246">
        <f>9708+351.922</f>
        <v>10059.922</v>
      </c>
      <c r="H163" s="246">
        <f>338.2+10923.72+6.04+110</f>
        <v>11377.960000000001</v>
      </c>
      <c r="I163" s="246">
        <f>162.3+8.116+4.4</f>
        <v>174.816</v>
      </c>
      <c r="J163" s="246">
        <f>165+8.095+4.4</f>
        <v>177.495</v>
      </c>
      <c r="K163" s="246"/>
      <c r="L163" s="246"/>
      <c r="M163" s="246">
        <f>165+8.201+4.4</f>
        <v>177.601</v>
      </c>
      <c r="N163" s="246">
        <f>M163</f>
        <v>177.601</v>
      </c>
      <c r="O163" s="247">
        <f>M163</f>
        <v>177.601</v>
      </c>
    </row>
    <row r="164" spans="1:15" ht="15.75" customHeight="1">
      <c r="A164" s="386" t="s">
        <v>440</v>
      </c>
      <c r="B164" s="387"/>
      <c r="C164" s="387"/>
      <c r="D164" s="387"/>
      <c r="E164" s="387"/>
      <c r="F164" s="387"/>
      <c r="G164" s="387"/>
      <c r="H164" s="387"/>
      <c r="I164" s="387"/>
      <c r="J164" s="387"/>
      <c r="K164" s="387"/>
      <c r="L164" s="387"/>
      <c r="M164" s="387"/>
      <c r="N164" s="387"/>
      <c r="O164" s="388"/>
    </row>
    <row r="165" spans="1:15" ht="12.75">
      <c r="A165" s="268" t="s">
        <v>441</v>
      </c>
      <c r="B165" s="108" t="s">
        <v>442</v>
      </c>
      <c r="C165" s="269">
        <v>67.91</v>
      </c>
      <c r="D165" s="269">
        <f aca="true" t="shared" si="33" ref="D165:O165">SUM(D167+D168)</f>
        <v>89.86</v>
      </c>
      <c r="E165" s="269">
        <f>SUM(E167+E168)</f>
        <v>90.25200000000001</v>
      </c>
      <c r="F165" s="269">
        <f>SUM(F167+F168)</f>
        <v>82.804</v>
      </c>
      <c r="G165" s="269">
        <f t="shared" si="33"/>
        <v>74.045</v>
      </c>
      <c r="H165" s="269">
        <f t="shared" si="33"/>
        <v>81.57300000000001</v>
      </c>
      <c r="I165" s="270">
        <f t="shared" si="33"/>
        <v>79.58000000000001</v>
      </c>
      <c r="J165" s="270">
        <f t="shared" si="33"/>
        <v>78.18</v>
      </c>
      <c r="K165" s="270">
        <f t="shared" si="33"/>
        <v>71.6</v>
      </c>
      <c r="L165" s="270">
        <f t="shared" si="33"/>
        <v>78.56</v>
      </c>
      <c r="M165" s="270">
        <f t="shared" si="33"/>
        <v>77.43</v>
      </c>
      <c r="N165" s="269">
        <f t="shared" si="33"/>
        <v>78.2</v>
      </c>
      <c r="O165" s="271">
        <f t="shared" si="33"/>
        <v>79</v>
      </c>
    </row>
    <row r="166" spans="1:15" ht="12.75">
      <c r="A166" s="391" t="s">
        <v>443</v>
      </c>
      <c r="B166" s="387"/>
      <c r="C166" s="387"/>
      <c r="D166" s="387"/>
      <c r="E166" s="387"/>
      <c r="F166" s="387"/>
      <c r="G166" s="387"/>
      <c r="H166" s="387"/>
      <c r="I166" s="387"/>
      <c r="J166" s="387"/>
      <c r="K166" s="387"/>
      <c r="L166" s="387"/>
      <c r="M166" s="387"/>
      <c r="N166" s="387"/>
      <c r="O166" s="388"/>
    </row>
    <row r="167" spans="1:15" ht="12.75">
      <c r="A167" s="190" t="s">
        <v>444</v>
      </c>
      <c r="B167" s="108" t="s">
        <v>442</v>
      </c>
      <c r="C167" s="272">
        <v>52.2806</v>
      </c>
      <c r="D167" s="273">
        <v>76.52</v>
      </c>
      <c r="E167" s="272">
        <v>76.132</v>
      </c>
      <c r="F167" s="272">
        <v>70.33</v>
      </c>
      <c r="G167" s="272">
        <v>61.096</v>
      </c>
      <c r="H167" s="272">
        <v>70.483</v>
      </c>
      <c r="I167" s="274">
        <v>68.54</v>
      </c>
      <c r="J167" s="274">
        <v>68.23</v>
      </c>
      <c r="K167" s="274">
        <v>61</v>
      </c>
      <c r="L167" s="274">
        <v>70</v>
      </c>
      <c r="M167" s="274">
        <v>69</v>
      </c>
      <c r="N167" s="274">
        <v>69.7</v>
      </c>
      <c r="O167" s="275">
        <v>70.4</v>
      </c>
    </row>
    <row r="168" spans="1:15" ht="12.75">
      <c r="A168" s="190" t="s">
        <v>445</v>
      </c>
      <c r="B168" s="108" t="s">
        <v>442</v>
      </c>
      <c r="C168" s="269">
        <v>15.6325</v>
      </c>
      <c r="D168" s="269">
        <v>13.34</v>
      </c>
      <c r="E168" s="269">
        <f>13.396+0.724</f>
        <v>14.120000000000001</v>
      </c>
      <c r="F168" s="269">
        <f>12.421+0.053</f>
        <v>12.474</v>
      </c>
      <c r="G168" s="269">
        <f>0.02+12.929</f>
        <v>12.949</v>
      </c>
      <c r="H168" s="269">
        <f>11+0.03+0.06</f>
        <v>11.09</v>
      </c>
      <c r="I168" s="276">
        <f>11.04</f>
        <v>11.04</v>
      </c>
      <c r="J168" s="276">
        <v>9.95</v>
      </c>
      <c r="K168" s="276">
        <v>10.6</v>
      </c>
      <c r="L168" s="276">
        <v>8.56</v>
      </c>
      <c r="M168" s="277">
        <v>8.43</v>
      </c>
      <c r="N168" s="278">
        <v>8.5</v>
      </c>
      <c r="O168" s="279">
        <v>8.6</v>
      </c>
    </row>
    <row r="169" spans="1:15" ht="12.75">
      <c r="A169" s="280" t="s">
        <v>446</v>
      </c>
      <c r="B169" s="281" t="s">
        <v>447</v>
      </c>
      <c r="C169" s="278">
        <f>97.573+61.513</f>
        <v>159.08599999999998</v>
      </c>
      <c r="D169" s="278">
        <v>144.6</v>
      </c>
      <c r="E169" s="278">
        <f>53.658+92.861</f>
        <v>146.519</v>
      </c>
      <c r="F169" s="278">
        <f>58.455+104.417</f>
        <v>162.872</v>
      </c>
      <c r="G169" s="278">
        <f>111.751+46.459</f>
        <v>158.21</v>
      </c>
      <c r="H169" s="278">
        <f>51.1+100.8+8</f>
        <v>159.9</v>
      </c>
      <c r="I169" s="278">
        <v>133.9</v>
      </c>
      <c r="J169" s="278">
        <v>135.3</v>
      </c>
      <c r="K169" s="278">
        <v>125.2</v>
      </c>
      <c r="L169" s="278">
        <v>138.1</v>
      </c>
      <c r="M169" s="278">
        <v>133.4</v>
      </c>
      <c r="N169" s="278">
        <v>136.9</v>
      </c>
      <c r="O169" s="279">
        <v>138.2</v>
      </c>
    </row>
    <row r="170" spans="1:15" ht="12.75">
      <c r="A170" s="280" t="s">
        <v>448</v>
      </c>
      <c r="B170" s="281" t="s">
        <v>447</v>
      </c>
      <c r="C170" s="278">
        <f>84.698+45.037</f>
        <v>129.73499999999999</v>
      </c>
      <c r="D170" s="278">
        <v>124.7</v>
      </c>
      <c r="E170" s="278">
        <f>38.439+80.325</f>
        <v>118.76400000000001</v>
      </c>
      <c r="F170" s="278">
        <f>44.179+92.738</f>
        <v>136.917</v>
      </c>
      <c r="G170" s="278">
        <f>107.204+37.565</f>
        <v>144.769</v>
      </c>
      <c r="H170" s="278">
        <f>40.1+96.346</f>
        <v>136.446</v>
      </c>
      <c r="I170" s="278">
        <v>120.5</v>
      </c>
      <c r="J170" s="278">
        <v>127.1</v>
      </c>
      <c r="K170" s="278">
        <v>116.4</v>
      </c>
      <c r="L170" s="278">
        <v>124.9</v>
      </c>
      <c r="M170" s="278">
        <v>124.5</v>
      </c>
      <c r="N170" s="278">
        <v>127.7</v>
      </c>
      <c r="O170" s="279">
        <v>129</v>
      </c>
    </row>
    <row r="171" spans="1:15" ht="12.75">
      <c r="A171" s="268" t="s">
        <v>449</v>
      </c>
      <c r="B171" s="108" t="s">
        <v>450</v>
      </c>
      <c r="C171" s="282">
        <f>264+5.7+490+50</f>
        <v>809.7</v>
      </c>
      <c r="D171" s="283">
        <f>128+470+16.3+130</f>
        <v>744.3</v>
      </c>
      <c r="E171" s="283">
        <v>793.2</v>
      </c>
      <c r="F171" s="283">
        <v>837.79</v>
      </c>
      <c r="G171" s="270">
        <v>1089.505</v>
      </c>
      <c r="H171" s="270">
        <f>692.8+45.21+165+169</f>
        <v>1072.01</v>
      </c>
      <c r="I171" s="284">
        <f>611.08+35.796+211.3+190.667</f>
        <v>1048.843</v>
      </c>
      <c r="J171" s="284">
        <v>1007.06</v>
      </c>
      <c r="K171" s="284">
        <v>985.849</v>
      </c>
      <c r="L171" s="284">
        <v>1063.7</v>
      </c>
      <c r="M171" s="284">
        <v>1100</v>
      </c>
      <c r="N171" s="284">
        <v>1150</v>
      </c>
      <c r="O171" s="285">
        <v>1200</v>
      </c>
    </row>
    <row r="172" spans="1:15" ht="12.75">
      <c r="A172" s="268" t="s">
        <v>452</v>
      </c>
      <c r="B172" s="108" t="s">
        <v>453</v>
      </c>
      <c r="C172" s="270">
        <f>175+32+50+3</f>
        <v>260</v>
      </c>
      <c r="D172" s="270">
        <v>230.3</v>
      </c>
      <c r="E172" s="270">
        <f>242+69+46+52.339</f>
        <v>409.339</v>
      </c>
      <c r="F172" s="270">
        <v>413.2</v>
      </c>
      <c r="G172" s="270">
        <v>337</v>
      </c>
      <c r="H172" s="270">
        <v>275.31</v>
      </c>
      <c r="I172" s="270">
        <v>293.94</v>
      </c>
      <c r="J172" s="270">
        <v>282</v>
      </c>
      <c r="K172" s="270">
        <v>241.9</v>
      </c>
      <c r="L172" s="270">
        <v>239.6</v>
      </c>
      <c r="M172" s="270">
        <v>254</v>
      </c>
      <c r="N172" s="270">
        <v>269</v>
      </c>
      <c r="O172" s="286">
        <v>269</v>
      </c>
    </row>
    <row r="173" spans="1:16" ht="12.75">
      <c r="A173" s="287" t="s">
        <v>454</v>
      </c>
      <c r="B173" s="108" t="s">
        <v>453</v>
      </c>
      <c r="C173" s="282" t="s">
        <v>296</v>
      </c>
      <c r="D173" s="282">
        <v>6</v>
      </c>
      <c r="E173" s="282">
        <v>59.9</v>
      </c>
      <c r="F173" s="282">
        <v>54</v>
      </c>
      <c r="G173" s="282">
        <v>56.1</v>
      </c>
      <c r="H173" s="282">
        <v>56.4</v>
      </c>
      <c r="I173" s="282">
        <v>60.7</v>
      </c>
      <c r="J173" s="282">
        <v>56.4</v>
      </c>
      <c r="K173" s="282">
        <v>65</v>
      </c>
      <c r="L173" s="282">
        <v>56.9</v>
      </c>
      <c r="M173" s="282">
        <v>59.2</v>
      </c>
      <c r="N173" s="282">
        <v>59.2</v>
      </c>
      <c r="O173" s="288">
        <v>59.2</v>
      </c>
      <c r="P173" s="101">
        <f>48.1+47.1+128.4+9.5+1.5</f>
        <v>234.60000000000002</v>
      </c>
    </row>
    <row r="174" spans="1:15" ht="15" customHeight="1" thickBot="1">
      <c r="A174" s="289" t="s">
        <v>455</v>
      </c>
      <c r="B174" s="290" t="s">
        <v>453</v>
      </c>
      <c r="C174" s="291">
        <f>215.48+82</f>
        <v>297.48</v>
      </c>
      <c r="D174" s="291">
        <v>282.68</v>
      </c>
      <c r="E174" s="291">
        <v>267.946</v>
      </c>
      <c r="F174" s="291">
        <v>247.77</v>
      </c>
      <c r="G174" s="291">
        <v>244.35</v>
      </c>
      <c r="H174" s="291">
        <v>236.47</v>
      </c>
      <c r="I174" s="291">
        <v>239.7</v>
      </c>
      <c r="J174" s="291">
        <v>250.97</v>
      </c>
      <c r="K174" s="291">
        <v>243.36</v>
      </c>
      <c r="L174" s="291">
        <v>234.55</v>
      </c>
      <c r="M174" s="291">
        <v>242.39</v>
      </c>
      <c r="N174" s="291">
        <v>242.39</v>
      </c>
      <c r="O174" s="292">
        <v>242.39</v>
      </c>
    </row>
    <row r="175" spans="1:15" ht="12.75" hidden="1">
      <c r="A175" s="293" t="s">
        <v>456</v>
      </c>
      <c r="B175" s="294" t="s">
        <v>457</v>
      </c>
      <c r="C175" s="295" t="s">
        <v>296</v>
      </c>
      <c r="D175" s="295" t="s">
        <v>296</v>
      </c>
      <c r="E175" s="296" t="s">
        <v>296</v>
      </c>
      <c r="F175" s="296" t="s">
        <v>296</v>
      </c>
      <c r="G175" s="296"/>
      <c r="H175" s="296"/>
      <c r="I175" s="296"/>
      <c r="J175" s="295" t="s">
        <v>296</v>
      </c>
      <c r="K175" s="295"/>
      <c r="L175" s="295"/>
      <c r="M175" s="295" t="s">
        <v>296</v>
      </c>
      <c r="N175" s="295" t="s">
        <v>296</v>
      </c>
      <c r="O175" s="297" t="s">
        <v>296</v>
      </c>
    </row>
    <row r="176" spans="1:15" ht="13.5" hidden="1" thickBot="1">
      <c r="A176" s="289" t="s">
        <v>458</v>
      </c>
      <c r="B176" s="290" t="s">
        <v>457</v>
      </c>
      <c r="C176" s="298" t="s">
        <v>296</v>
      </c>
      <c r="D176" s="298" t="s">
        <v>296</v>
      </c>
      <c r="E176" s="299" t="s">
        <v>296</v>
      </c>
      <c r="F176" s="299" t="s">
        <v>296</v>
      </c>
      <c r="G176" s="299"/>
      <c r="H176" s="299"/>
      <c r="I176" s="299"/>
      <c r="J176" s="298" t="s">
        <v>296</v>
      </c>
      <c r="K176" s="298"/>
      <c r="L176" s="298"/>
      <c r="M176" s="298" t="s">
        <v>296</v>
      </c>
      <c r="N176" s="298" t="s">
        <v>296</v>
      </c>
      <c r="O176" s="300" t="s">
        <v>296</v>
      </c>
    </row>
    <row r="177" spans="3:14" ht="12.75">
      <c r="C177" s="302"/>
      <c r="D177" s="303"/>
      <c r="E177" s="303"/>
      <c r="F177" s="303"/>
      <c r="G177" s="303"/>
      <c r="H177" s="303"/>
      <c r="I177" s="303"/>
      <c r="J177" s="302"/>
      <c r="K177" s="302"/>
      <c r="L177" s="302"/>
      <c r="M177" s="302"/>
      <c r="N177" s="302"/>
    </row>
    <row r="178" ht="12.75"/>
    <row r="179" ht="12.75" hidden="1"/>
    <row r="180" ht="12.75" hidden="1"/>
    <row r="181" ht="12.75" hidden="1">
      <c r="O181" s="101">
        <v>55.89</v>
      </c>
    </row>
    <row r="182" ht="12.75" hidden="1">
      <c r="O182" s="101">
        <v>120.9</v>
      </c>
    </row>
    <row r="183" ht="12.75" hidden="1"/>
    <row r="184" ht="12.75" hidden="1"/>
    <row r="185" ht="12.75"/>
    <row r="186" ht="12.75"/>
    <row r="187" ht="12.75"/>
    <row r="188" ht="12.75"/>
    <row r="189" ht="12.75"/>
    <row r="190" ht="12.75"/>
    <row r="191" ht="12.75"/>
    <row r="192" ht="12.75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>
      <c r="J199" s="101">
        <f>2039/2756</f>
        <v>0.7398403483309144</v>
      </c>
    </row>
    <row r="200" ht="12.75" hidden="1">
      <c r="J200" s="101">
        <f>2763*0.74</f>
        <v>2044.62</v>
      </c>
    </row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</sheetData>
  <sheetProtection/>
  <mergeCells count="43">
    <mergeCell ref="A166:O166"/>
    <mergeCell ref="A134:O134"/>
    <mergeCell ref="A139:O139"/>
    <mergeCell ref="A148:O148"/>
    <mergeCell ref="A158:O158"/>
    <mergeCell ref="A159:O159"/>
    <mergeCell ref="A164:O164"/>
    <mergeCell ref="A102:O102"/>
    <mergeCell ref="A108:O108"/>
    <mergeCell ref="A114:O114"/>
    <mergeCell ref="A115:O115"/>
    <mergeCell ref="A120:O120"/>
    <mergeCell ref="A123:O123"/>
    <mergeCell ref="A68:O68"/>
    <mergeCell ref="A70:O70"/>
    <mergeCell ref="A72:O72"/>
    <mergeCell ref="A75:N75"/>
    <mergeCell ref="A95:O95"/>
    <mergeCell ref="A100:O100"/>
    <mergeCell ref="A48:O48"/>
    <mergeCell ref="A50:O50"/>
    <mergeCell ref="A56:O56"/>
    <mergeCell ref="A61:O61"/>
    <mergeCell ref="A63:O63"/>
    <mergeCell ref="A66:O66"/>
    <mergeCell ref="A25:O25"/>
    <mergeCell ref="A29:O29"/>
    <mergeCell ref="A30:O30"/>
    <mergeCell ref="A33:O33"/>
    <mergeCell ref="A42:O42"/>
    <mergeCell ref="A46:O46"/>
    <mergeCell ref="A12:O12"/>
    <mergeCell ref="A13:O13"/>
    <mergeCell ref="A16:O16"/>
    <mergeCell ref="A17:O17"/>
    <mergeCell ref="A20:O20"/>
    <mergeCell ref="A23:O23"/>
    <mergeCell ref="M1:O1"/>
    <mergeCell ref="A3:O3"/>
    <mergeCell ref="A4:A5"/>
    <mergeCell ref="B4:B5"/>
    <mergeCell ref="M4:O4"/>
    <mergeCell ref="A6:O6"/>
  </mergeCells>
  <printOptions horizontalCentered="1"/>
  <pageMargins left="0.2362204724409449" right="0" top="0.2755905511811024" bottom="0.2755905511811024" header="0" footer="0"/>
  <pageSetup fitToHeight="3" horizontalDpi="600" verticalDpi="600" orientation="portrait" paperSize="9" scale="71" r:id="rId3"/>
  <rowBreaks count="2" manualBreakCount="2">
    <brk id="74" max="14" man="1"/>
    <brk id="151" max="14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H28"/>
  <sheetViews>
    <sheetView zoomScalePageLayoutView="0" workbookViewId="0" topLeftCell="A1">
      <selection activeCell="C2" sqref="C2:G2"/>
    </sheetView>
  </sheetViews>
  <sheetFormatPr defaultColWidth="9.140625" defaultRowHeight="15"/>
  <cols>
    <col min="1" max="1" width="4.7109375" style="304" customWidth="1"/>
    <col min="2" max="2" width="36.8515625" style="304" customWidth="1"/>
    <col min="3" max="3" width="12.28125" style="304" customWidth="1"/>
    <col min="4" max="4" width="15.28125" style="304" customWidth="1"/>
    <col min="5" max="5" width="12.7109375" style="304" customWidth="1"/>
    <col min="6" max="6" width="10.8515625" style="304" customWidth="1"/>
    <col min="7" max="16384" width="9.140625" style="304" customWidth="1"/>
  </cols>
  <sheetData>
    <row r="1" spans="4:7" ht="15">
      <c r="D1" s="420" t="s">
        <v>603</v>
      </c>
      <c r="E1" s="420"/>
      <c r="F1" s="420"/>
      <c r="G1" s="420"/>
    </row>
    <row r="2" spans="4:7" ht="34.5" customHeight="1">
      <c r="D2" s="421" t="s">
        <v>538</v>
      </c>
      <c r="E2" s="421"/>
      <c r="F2" s="421"/>
      <c r="G2" s="421"/>
    </row>
    <row r="5" spans="1:7" ht="51.75" customHeight="1">
      <c r="A5" s="422" t="s">
        <v>604</v>
      </c>
      <c r="B5" s="422"/>
      <c r="C5" s="422"/>
      <c r="D5" s="422"/>
      <c r="E5" s="422"/>
      <c r="F5" s="422"/>
      <c r="G5" s="422"/>
    </row>
    <row r="7" ht="15.75" thickBot="1"/>
    <row r="8" spans="1:7" ht="31.5" customHeight="1">
      <c r="A8" s="423" t="s">
        <v>459</v>
      </c>
      <c r="B8" s="417"/>
      <c r="C8" s="411" t="s">
        <v>460</v>
      </c>
      <c r="D8" s="411" t="s">
        <v>605</v>
      </c>
      <c r="E8" s="411" t="s">
        <v>461</v>
      </c>
      <c r="F8" s="411"/>
      <c r="G8" s="413"/>
    </row>
    <row r="9" spans="1:7" ht="16.5" thickBot="1">
      <c r="A9" s="424"/>
      <c r="B9" s="419"/>
      <c r="C9" s="412"/>
      <c r="D9" s="412"/>
      <c r="E9" s="305" t="s">
        <v>258</v>
      </c>
      <c r="F9" s="305" t="s">
        <v>462</v>
      </c>
      <c r="G9" s="306" t="s">
        <v>606</v>
      </c>
    </row>
    <row r="10" spans="1:7" ht="31.5">
      <c r="A10" s="414" t="s">
        <v>463</v>
      </c>
      <c r="B10" s="307" t="s">
        <v>464</v>
      </c>
      <c r="C10" s="417" t="s">
        <v>442</v>
      </c>
      <c r="D10" s="308">
        <f>D12+D13</f>
        <v>78.6</v>
      </c>
      <c r="E10" s="308">
        <f>E12+E13</f>
        <v>77.4</v>
      </c>
      <c r="F10" s="308">
        <f>F12+F13</f>
        <v>78.2</v>
      </c>
      <c r="G10" s="309">
        <f>G12+G13</f>
        <v>79</v>
      </c>
    </row>
    <row r="11" spans="1:7" ht="15.75">
      <c r="A11" s="415"/>
      <c r="B11" s="310" t="s">
        <v>285</v>
      </c>
      <c r="C11" s="418"/>
      <c r="D11" s="311"/>
      <c r="E11" s="311"/>
      <c r="F11" s="311"/>
      <c r="G11" s="312"/>
    </row>
    <row r="12" spans="1:7" ht="15.75">
      <c r="A12" s="415"/>
      <c r="B12" s="313" t="s">
        <v>465</v>
      </c>
      <c r="C12" s="418"/>
      <c r="D12" s="314">
        <v>70</v>
      </c>
      <c r="E12" s="314">
        <v>69</v>
      </c>
      <c r="F12" s="314">
        <v>69.7</v>
      </c>
      <c r="G12" s="315">
        <v>70.4</v>
      </c>
    </row>
    <row r="13" spans="1:7" ht="16.5" thickBot="1">
      <c r="A13" s="416"/>
      <c r="B13" s="316" t="s">
        <v>466</v>
      </c>
      <c r="C13" s="419"/>
      <c r="D13" s="317">
        <v>8.6</v>
      </c>
      <c r="E13" s="317">
        <v>8.4</v>
      </c>
      <c r="F13" s="317">
        <v>8.5</v>
      </c>
      <c r="G13" s="318">
        <v>8.6</v>
      </c>
    </row>
    <row r="14" spans="1:7" ht="15.75">
      <c r="A14" s="414" t="s">
        <v>467</v>
      </c>
      <c r="B14" s="307" t="s">
        <v>468</v>
      </c>
      <c r="C14" s="417" t="s">
        <v>447</v>
      </c>
      <c r="D14" s="319">
        <f>D16+D17+D18</f>
        <v>138.1</v>
      </c>
      <c r="E14" s="319">
        <f>E16+E17+E18</f>
        <v>133.4</v>
      </c>
      <c r="F14" s="319">
        <f>F16+F17+F18</f>
        <v>136.9</v>
      </c>
      <c r="G14" s="320">
        <f>G16+G17+G18</f>
        <v>138.2</v>
      </c>
    </row>
    <row r="15" spans="1:7" ht="15.75">
      <c r="A15" s="415"/>
      <c r="B15" s="310" t="s">
        <v>285</v>
      </c>
      <c r="C15" s="418"/>
      <c r="D15" s="311"/>
      <c r="E15" s="311"/>
      <c r="F15" s="311"/>
      <c r="G15" s="312"/>
    </row>
    <row r="16" spans="1:7" ht="15.75">
      <c r="A16" s="415"/>
      <c r="B16" s="313" t="s">
        <v>469</v>
      </c>
      <c r="C16" s="418"/>
      <c r="D16" s="321">
        <v>92</v>
      </c>
      <c r="E16" s="321">
        <v>89</v>
      </c>
      <c r="F16" s="321">
        <v>91.3</v>
      </c>
      <c r="G16" s="322">
        <v>92.2</v>
      </c>
    </row>
    <row r="17" spans="1:7" ht="15.75">
      <c r="A17" s="415"/>
      <c r="B17" s="313" t="s">
        <v>466</v>
      </c>
      <c r="C17" s="418"/>
      <c r="D17" s="321">
        <v>27.3</v>
      </c>
      <c r="E17" s="321">
        <v>25.9</v>
      </c>
      <c r="F17" s="321">
        <v>26.6</v>
      </c>
      <c r="G17" s="322">
        <v>26.8</v>
      </c>
    </row>
    <row r="18" spans="1:7" ht="16.5" thickBot="1">
      <c r="A18" s="416"/>
      <c r="B18" s="316" t="s">
        <v>470</v>
      </c>
      <c r="C18" s="419"/>
      <c r="D18" s="317">
        <v>18.8</v>
      </c>
      <c r="E18" s="317">
        <v>18.5</v>
      </c>
      <c r="F18" s="317">
        <v>19</v>
      </c>
      <c r="G18" s="318">
        <v>19.2</v>
      </c>
    </row>
    <row r="19" spans="1:8" ht="16.5" thickBot="1">
      <c r="A19" s="323" t="s">
        <v>471</v>
      </c>
      <c r="B19" s="324" t="s">
        <v>472</v>
      </c>
      <c r="C19" s="325" t="s">
        <v>473</v>
      </c>
      <c r="D19" s="326">
        <v>1063.7</v>
      </c>
      <c r="E19" s="326">
        <v>1100</v>
      </c>
      <c r="F19" s="326">
        <v>1150</v>
      </c>
      <c r="G19" s="327">
        <v>1200</v>
      </c>
      <c r="H19" s="328"/>
    </row>
    <row r="20" spans="1:7" ht="16.5" thickBot="1">
      <c r="A20" s="323" t="s">
        <v>474</v>
      </c>
      <c r="B20" s="324" t="s">
        <v>475</v>
      </c>
      <c r="C20" s="325" t="s">
        <v>431</v>
      </c>
      <c r="D20" s="326">
        <v>239.6</v>
      </c>
      <c r="E20" s="326">
        <v>254</v>
      </c>
      <c r="F20" s="326">
        <v>269</v>
      </c>
      <c r="G20" s="327">
        <v>269</v>
      </c>
    </row>
    <row r="21" spans="1:7" ht="16.5" thickBot="1">
      <c r="A21" s="323" t="s">
        <v>476</v>
      </c>
      <c r="B21" s="324" t="s">
        <v>455</v>
      </c>
      <c r="C21" s="325" t="s">
        <v>431</v>
      </c>
      <c r="D21" s="326">
        <v>234.6</v>
      </c>
      <c r="E21" s="326">
        <v>242.4</v>
      </c>
      <c r="F21" s="326">
        <v>242.4</v>
      </c>
      <c r="G21" s="327">
        <v>242.4</v>
      </c>
    </row>
    <row r="22" spans="1:7" ht="16.5" thickBot="1">
      <c r="A22" s="323" t="s">
        <v>477</v>
      </c>
      <c r="B22" s="324" t="s">
        <v>454</v>
      </c>
      <c r="C22" s="325" t="s">
        <v>431</v>
      </c>
      <c r="D22" s="326">
        <v>56.9</v>
      </c>
      <c r="E22" s="326">
        <v>59.2</v>
      </c>
      <c r="F22" s="326">
        <v>59.2</v>
      </c>
      <c r="G22" s="327">
        <v>59.2</v>
      </c>
    </row>
    <row r="25" ht="18.75">
      <c r="A25" s="329"/>
    </row>
    <row r="26" ht="18.75">
      <c r="A26" s="329"/>
    </row>
    <row r="27" ht="18.75">
      <c r="A27" s="329"/>
    </row>
    <row r="28" ht="15.75">
      <c r="A28" s="330"/>
    </row>
  </sheetData>
  <sheetProtection/>
  <mergeCells count="12">
    <mergeCell ref="D1:G1"/>
    <mergeCell ref="D2:G2"/>
    <mergeCell ref="A5:G5"/>
    <mergeCell ref="A8:A9"/>
    <mergeCell ref="B8:B9"/>
    <mergeCell ref="C8:C9"/>
    <mergeCell ref="D8:D9"/>
    <mergeCell ref="E8:G8"/>
    <mergeCell ref="A10:A13"/>
    <mergeCell ref="C10:C13"/>
    <mergeCell ref="A14:A18"/>
    <mergeCell ref="C14:C18"/>
  </mergeCells>
  <printOptions/>
  <pageMargins left="0.7" right="0.7" top="0.75" bottom="0.75" header="0.3" footer="0.3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E13"/>
  <sheetViews>
    <sheetView zoomScalePageLayoutView="0" workbookViewId="0" topLeftCell="A1">
      <selection activeCell="C2" sqref="C2:G2"/>
    </sheetView>
  </sheetViews>
  <sheetFormatPr defaultColWidth="9.140625" defaultRowHeight="15"/>
  <cols>
    <col min="1" max="1" width="38.57421875" style="304" customWidth="1"/>
    <col min="2" max="2" width="14.00390625" style="304" customWidth="1"/>
    <col min="3" max="3" width="15.00390625" style="304" customWidth="1"/>
    <col min="4" max="4" width="19.28125" style="304" customWidth="1"/>
    <col min="5" max="5" width="14.140625" style="304" customWidth="1"/>
    <col min="6" max="16384" width="9.140625" style="304" customWidth="1"/>
  </cols>
  <sheetData>
    <row r="1" spans="4:5" ht="15">
      <c r="D1" s="420" t="s">
        <v>478</v>
      </c>
      <c r="E1" s="420"/>
    </row>
    <row r="2" spans="3:5" ht="29.25" customHeight="1">
      <c r="C2" s="421" t="s">
        <v>538</v>
      </c>
      <c r="D2" s="421"/>
      <c r="E2" s="421"/>
    </row>
    <row r="4" spans="1:5" ht="47.25" customHeight="1">
      <c r="A4" s="425" t="s">
        <v>607</v>
      </c>
      <c r="B4" s="425"/>
      <c r="C4" s="425"/>
      <c r="D4" s="425"/>
      <c r="E4" s="425"/>
    </row>
    <row r="7" spans="1:5" ht="56.25">
      <c r="A7" s="331" t="s">
        <v>479</v>
      </c>
      <c r="B7" s="331" t="s">
        <v>460</v>
      </c>
      <c r="C7" s="331" t="s">
        <v>608</v>
      </c>
      <c r="D7" s="331" t="s">
        <v>609</v>
      </c>
      <c r="E7" s="331" t="s">
        <v>510</v>
      </c>
    </row>
    <row r="8" spans="1:5" ht="87" customHeight="1">
      <c r="A8" s="332" t="s">
        <v>480</v>
      </c>
      <c r="B8" s="333" t="s">
        <v>481</v>
      </c>
      <c r="C8" s="334">
        <v>50.2</v>
      </c>
      <c r="D8" s="334">
        <v>48.1</v>
      </c>
      <c r="E8" s="334">
        <v>0</v>
      </c>
    </row>
    <row r="9" spans="1:5" ht="21.75" customHeight="1">
      <c r="A9" s="332" t="s">
        <v>482</v>
      </c>
      <c r="B9" s="333" t="s">
        <v>481</v>
      </c>
      <c r="C9" s="334">
        <v>146.2</v>
      </c>
      <c r="D9" s="334">
        <v>128.4</v>
      </c>
      <c r="E9" s="334">
        <v>133.5</v>
      </c>
    </row>
    <row r="10" spans="1:5" ht="18.75">
      <c r="A10" s="332" t="s">
        <v>483</v>
      </c>
      <c r="B10" s="333" t="s">
        <v>481</v>
      </c>
      <c r="C10" s="334">
        <v>24.1</v>
      </c>
      <c r="D10" s="334">
        <v>47.1</v>
      </c>
      <c r="E10" s="334">
        <f>50.1+48.9</f>
        <v>99</v>
      </c>
    </row>
    <row r="11" spans="1:5" ht="25.5" customHeight="1">
      <c r="A11" s="332" t="s">
        <v>484</v>
      </c>
      <c r="B11" s="333" t="s">
        <v>481</v>
      </c>
      <c r="C11" s="334">
        <v>13.4</v>
      </c>
      <c r="D11" s="334">
        <v>9.5</v>
      </c>
      <c r="E11" s="334">
        <v>9.9</v>
      </c>
    </row>
    <row r="12" spans="1:5" ht="57" customHeight="1">
      <c r="A12" s="332" t="s">
        <v>485</v>
      </c>
      <c r="B12" s="333" t="s">
        <v>481</v>
      </c>
      <c r="C12" s="334">
        <v>9.5</v>
      </c>
      <c r="D12" s="334">
        <v>1.5</v>
      </c>
      <c r="E12" s="334">
        <v>0</v>
      </c>
    </row>
    <row r="13" spans="1:5" ht="19.5">
      <c r="A13" s="335" t="s">
        <v>451</v>
      </c>
      <c r="B13" s="331" t="s">
        <v>481</v>
      </c>
      <c r="C13" s="336">
        <f>C8+C9+C10+C11+C12</f>
        <v>243.39999999999998</v>
      </c>
      <c r="D13" s="336">
        <f>D8+D9+D10+D11+D12</f>
        <v>234.6</v>
      </c>
      <c r="E13" s="336">
        <f>E8+E9+E10+E11+E12</f>
        <v>242.4</v>
      </c>
    </row>
  </sheetData>
  <sheetProtection/>
  <mergeCells count="3">
    <mergeCell ref="D1:E1"/>
    <mergeCell ref="C2:E2"/>
    <mergeCell ref="A4:E4"/>
  </mergeCells>
  <printOptions/>
  <pageMargins left="0.7" right="0.7" top="0.75" bottom="0.75" header="0.3" footer="0.3"/>
  <pageSetup horizontalDpi="600" verticalDpi="600" orientation="portrait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H15"/>
  <sheetViews>
    <sheetView zoomScalePageLayoutView="0" workbookViewId="0" topLeftCell="A1">
      <selection activeCell="C2" sqref="C2:H2"/>
    </sheetView>
  </sheetViews>
  <sheetFormatPr defaultColWidth="9.140625" defaultRowHeight="15"/>
  <cols>
    <col min="1" max="1" width="25.8515625" style="304" customWidth="1"/>
    <col min="2" max="2" width="13.57421875" style="304" customWidth="1"/>
    <col min="3" max="3" width="6.8515625" style="304" bestFit="1" customWidth="1"/>
    <col min="4" max="4" width="11.28125" style="304" customWidth="1"/>
    <col min="5" max="5" width="12.57421875" style="304" bestFit="1" customWidth="1"/>
    <col min="6" max="6" width="9.28125" style="304" bestFit="1" customWidth="1"/>
    <col min="7" max="7" width="10.57421875" style="304" customWidth="1"/>
    <col min="8" max="8" width="14.140625" style="304" customWidth="1"/>
    <col min="9" max="16384" width="9.140625" style="304" customWidth="1"/>
  </cols>
  <sheetData>
    <row r="1" spans="7:8" ht="15">
      <c r="G1" s="420" t="s">
        <v>486</v>
      </c>
      <c r="H1" s="420"/>
    </row>
    <row r="2" spans="5:8" ht="35.25" customHeight="1">
      <c r="E2" s="421" t="s">
        <v>538</v>
      </c>
      <c r="F2" s="421"/>
      <c r="G2" s="421"/>
      <c r="H2" s="421"/>
    </row>
    <row r="4" spans="1:8" ht="15">
      <c r="A4" s="429" t="s">
        <v>610</v>
      </c>
      <c r="B4" s="429"/>
      <c r="C4" s="429"/>
      <c r="D4" s="429"/>
      <c r="E4" s="429"/>
      <c r="F4" s="429"/>
      <c r="G4" s="429"/>
      <c r="H4" s="429"/>
    </row>
    <row r="6" spans="1:8" ht="15">
      <c r="A6" s="427"/>
      <c r="B6" s="430" t="s">
        <v>611</v>
      </c>
      <c r="C6" s="430"/>
      <c r="D6" s="430"/>
      <c r="E6" s="430" t="s">
        <v>510</v>
      </c>
      <c r="F6" s="430"/>
      <c r="G6" s="430"/>
      <c r="H6" s="430"/>
    </row>
    <row r="7" spans="1:8" ht="22.5" customHeight="1">
      <c r="A7" s="427"/>
      <c r="B7" s="426" t="s">
        <v>612</v>
      </c>
      <c r="C7" s="427" t="s">
        <v>487</v>
      </c>
      <c r="D7" s="427"/>
      <c r="E7" s="426" t="s">
        <v>488</v>
      </c>
      <c r="F7" s="427" t="s">
        <v>487</v>
      </c>
      <c r="G7" s="427"/>
      <c r="H7" s="426" t="s">
        <v>613</v>
      </c>
    </row>
    <row r="8" spans="1:8" ht="30">
      <c r="A8" s="427"/>
      <c r="B8" s="426"/>
      <c r="C8" s="350" t="s">
        <v>489</v>
      </c>
      <c r="D8" s="349" t="s">
        <v>490</v>
      </c>
      <c r="E8" s="426"/>
      <c r="F8" s="350" t="s">
        <v>489</v>
      </c>
      <c r="G8" s="349" t="s">
        <v>490</v>
      </c>
      <c r="H8" s="426"/>
    </row>
    <row r="9" spans="1:8" ht="15.75">
      <c r="A9" s="428" t="s">
        <v>491</v>
      </c>
      <c r="B9" s="428"/>
      <c r="C9" s="428"/>
      <c r="D9" s="428"/>
      <c r="E9" s="428"/>
      <c r="F9" s="428"/>
      <c r="G9" s="428"/>
      <c r="H9" s="428"/>
    </row>
    <row r="10" spans="1:8" ht="15.75">
      <c r="A10" s="337" t="s">
        <v>492</v>
      </c>
      <c r="B10" s="338">
        <v>9176</v>
      </c>
      <c r="C10" s="338">
        <v>864</v>
      </c>
      <c r="D10" s="360">
        <v>25</v>
      </c>
      <c r="E10" s="338">
        <v>9190</v>
      </c>
      <c r="F10" s="338">
        <v>920</v>
      </c>
      <c r="G10" s="360">
        <v>27</v>
      </c>
      <c r="H10" s="338">
        <v>9200</v>
      </c>
    </row>
    <row r="11" spans="1:8" ht="15.75">
      <c r="A11" s="337" t="s">
        <v>493</v>
      </c>
      <c r="B11" s="338">
        <v>17812</v>
      </c>
      <c r="C11" s="338">
        <v>3100</v>
      </c>
      <c r="D11" s="360">
        <v>131.2</v>
      </c>
      <c r="E11" s="338">
        <v>18000</v>
      </c>
      <c r="F11" s="338">
        <v>3100</v>
      </c>
      <c r="G11" s="360">
        <v>140</v>
      </c>
      <c r="H11" s="338">
        <v>18000</v>
      </c>
    </row>
    <row r="12" spans="1:8" ht="15.75">
      <c r="A12" s="337" t="s">
        <v>494</v>
      </c>
      <c r="B12" s="338">
        <v>19100</v>
      </c>
      <c r="C12" s="338">
        <v>1583</v>
      </c>
      <c r="D12" s="360">
        <v>51.4</v>
      </c>
      <c r="E12" s="338">
        <v>19146</v>
      </c>
      <c r="F12" s="338">
        <v>1700</v>
      </c>
      <c r="G12" s="360">
        <v>53</v>
      </c>
      <c r="H12" s="338">
        <v>19250</v>
      </c>
    </row>
    <row r="13" spans="1:8" ht="15.75">
      <c r="A13" s="339" t="s">
        <v>495</v>
      </c>
      <c r="B13" s="340">
        <f>B10+B11+B12</f>
        <v>46088</v>
      </c>
      <c r="C13" s="340">
        <f aca="true" t="shared" si="0" ref="C13:H13">C10+C11+C12</f>
        <v>5547</v>
      </c>
      <c r="D13" s="361">
        <f t="shared" si="0"/>
        <v>207.6</v>
      </c>
      <c r="E13" s="340">
        <f t="shared" si="0"/>
        <v>46336</v>
      </c>
      <c r="F13" s="340">
        <f t="shared" si="0"/>
        <v>5720</v>
      </c>
      <c r="G13" s="361">
        <f t="shared" si="0"/>
        <v>220</v>
      </c>
      <c r="H13" s="340">
        <f t="shared" si="0"/>
        <v>46450</v>
      </c>
    </row>
    <row r="14" spans="1:8" ht="15">
      <c r="A14" s="341"/>
      <c r="B14" s="341"/>
      <c r="C14" s="341"/>
      <c r="D14" s="341"/>
      <c r="E14" s="341"/>
      <c r="F14" s="341"/>
      <c r="G14" s="341"/>
      <c r="H14" s="341"/>
    </row>
    <row r="15" spans="1:8" ht="15">
      <c r="A15" s="341"/>
      <c r="B15" s="341"/>
      <c r="C15" s="341"/>
      <c r="D15" s="341"/>
      <c r="E15" s="341"/>
      <c r="F15" s="341"/>
      <c r="G15" s="341"/>
      <c r="H15" s="341"/>
    </row>
  </sheetData>
  <sheetProtection/>
  <mergeCells count="12">
    <mergeCell ref="B7:B8"/>
    <mergeCell ref="C7:D7"/>
    <mergeCell ref="E7:E8"/>
    <mergeCell ref="F7:G7"/>
    <mergeCell ref="H7:H8"/>
    <mergeCell ref="A9:H9"/>
    <mergeCell ref="G1:H1"/>
    <mergeCell ref="E2:H2"/>
    <mergeCell ref="A4:H4"/>
    <mergeCell ref="A6:A8"/>
    <mergeCell ref="B6:D6"/>
    <mergeCell ref="E6:H6"/>
  </mergeCells>
  <printOptions/>
  <pageMargins left="0.7" right="0.7" top="0.75" bottom="0.75" header="0.3" footer="0.3"/>
  <pageSetup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C80"/>
  <sheetViews>
    <sheetView zoomScalePageLayoutView="0" workbookViewId="0" topLeftCell="A61">
      <selection activeCell="C87" sqref="C87"/>
    </sheetView>
  </sheetViews>
  <sheetFormatPr defaultColWidth="9.140625" defaultRowHeight="15"/>
  <cols>
    <col min="1" max="1" width="27.28125" style="304" customWidth="1"/>
    <col min="2" max="2" width="5.00390625" style="304" customWidth="1"/>
    <col min="3" max="3" width="76.00390625" style="304" customWidth="1"/>
    <col min="4" max="16384" width="9.140625" style="304" customWidth="1"/>
  </cols>
  <sheetData>
    <row r="1" spans="1:3" ht="15">
      <c r="A1" s="341"/>
      <c r="C1" s="347" t="s">
        <v>496</v>
      </c>
    </row>
    <row r="2" spans="1:3" ht="24">
      <c r="A2" s="341"/>
      <c r="C2" s="348" t="s">
        <v>538</v>
      </c>
    </row>
    <row r="3" spans="1:2" ht="15.75">
      <c r="A3" s="342"/>
      <c r="B3" s="341"/>
    </row>
    <row r="4" spans="1:3" ht="18.75">
      <c r="A4" s="432" t="s">
        <v>497</v>
      </c>
      <c r="B4" s="432"/>
      <c r="C4" s="432"/>
    </row>
    <row r="5" spans="1:3" ht="18.75">
      <c r="A5" s="432" t="s">
        <v>498</v>
      </c>
      <c r="B5" s="432"/>
      <c r="C5" s="432"/>
    </row>
    <row r="6" spans="1:3" ht="18.75">
      <c r="A6" s="432" t="s">
        <v>537</v>
      </c>
      <c r="B6" s="432"/>
      <c r="C6" s="432"/>
    </row>
    <row r="7" spans="1:2" ht="15.75">
      <c r="A7" s="343"/>
      <c r="B7" s="343"/>
    </row>
    <row r="8" spans="1:3" ht="31.5">
      <c r="A8" s="351" t="s">
        <v>499</v>
      </c>
      <c r="B8" s="351" t="s">
        <v>459</v>
      </c>
      <c r="C8" s="351" t="s">
        <v>500</v>
      </c>
    </row>
    <row r="9" spans="1:3" ht="15.75">
      <c r="A9" s="431" t="s">
        <v>501</v>
      </c>
      <c r="B9" s="351">
        <v>1</v>
      </c>
      <c r="C9" s="344" t="s">
        <v>539</v>
      </c>
    </row>
    <row r="10" spans="1:3" ht="15.75">
      <c r="A10" s="431"/>
      <c r="B10" s="351">
        <v>2</v>
      </c>
      <c r="C10" s="345" t="s">
        <v>540</v>
      </c>
    </row>
    <row r="11" spans="1:3" ht="15.75">
      <c r="A11" s="431"/>
      <c r="B11" s="351">
        <v>3</v>
      </c>
      <c r="C11" s="345" t="s">
        <v>541</v>
      </c>
    </row>
    <row r="12" spans="1:3" ht="31.5">
      <c r="A12" s="431"/>
      <c r="B12" s="351">
        <v>4</v>
      </c>
      <c r="C12" s="359" t="s">
        <v>542</v>
      </c>
    </row>
    <row r="13" spans="1:3" ht="15.75">
      <c r="A13" s="431"/>
      <c r="B13" s="351">
        <v>5</v>
      </c>
      <c r="C13" s="345" t="s">
        <v>543</v>
      </c>
    </row>
    <row r="14" spans="1:3" ht="15.75">
      <c r="A14" s="431"/>
      <c r="B14" s="351">
        <v>6</v>
      </c>
      <c r="C14" s="345" t="s">
        <v>544</v>
      </c>
    </row>
    <row r="15" spans="1:3" ht="15.75">
      <c r="A15" s="431"/>
      <c r="B15" s="351">
        <v>7</v>
      </c>
      <c r="C15" s="345" t="s">
        <v>545</v>
      </c>
    </row>
    <row r="16" spans="1:3" ht="15.75">
      <c r="A16" s="431"/>
      <c r="B16" s="351">
        <v>8</v>
      </c>
      <c r="C16" s="345" t="s">
        <v>546</v>
      </c>
    </row>
    <row r="17" spans="1:3" ht="15.75">
      <c r="A17" s="431"/>
      <c r="B17" s="351">
        <v>9</v>
      </c>
      <c r="C17" s="345" t="s">
        <v>547</v>
      </c>
    </row>
    <row r="18" spans="1:3" ht="15.75">
      <c r="A18" s="431"/>
      <c r="B18" s="351">
        <v>10</v>
      </c>
      <c r="C18" s="345" t="s">
        <v>548</v>
      </c>
    </row>
    <row r="19" spans="1:3" ht="15.75">
      <c r="A19" s="431"/>
      <c r="B19" s="351">
        <v>11</v>
      </c>
      <c r="C19" s="345" t="s">
        <v>549</v>
      </c>
    </row>
    <row r="20" spans="1:3" ht="15.75">
      <c r="A20" s="431"/>
      <c r="B20" s="351">
        <v>12</v>
      </c>
      <c r="C20" s="345" t="s">
        <v>550</v>
      </c>
    </row>
    <row r="21" spans="1:3" ht="15.75">
      <c r="A21" s="431"/>
      <c r="B21" s="351">
        <v>13</v>
      </c>
      <c r="C21" s="345" t="s">
        <v>551</v>
      </c>
    </row>
    <row r="22" spans="1:3" ht="18.75">
      <c r="A22" s="431"/>
      <c r="B22" s="351">
        <v>14</v>
      </c>
      <c r="C22" s="345" t="s">
        <v>552</v>
      </c>
    </row>
    <row r="23" spans="1:3" ht="15.75">
      <c r="A23" s="431"/>
      <c r="B23" s="351">
        <v>15</v>
      </c>
      <c r="C23" s="345" t="s">
        <v>553</v>
      </c>
    </row>
    <row r="24" spans="1:3" ht="15.75">
      <c r="A24" s="431"/>
      <c r="B24" s="351">
        <v>16</v>
      </c>
      <c r="C24" s="345" t="s">
        <v>554</v>
      </c>
    </row>
    <row r="25" spans="1:3" ht="15.75">
      <c r="A25" s="431" t="s">
        <v>502</v>
      </c>
      <c r="B25" s="351">
        <v>1</v>
      </c>
      <c r="C25" s="345" t="s">
        <v>543</v>
      </c>
    </row>
    <row r="26" spans="1:3" ht="15.75">
      <c r="A26" s="431"/>
      <c r="B26" s="351">
        <v>2</v>
      </c>
      <c r="C26" s="345" t="s">
        <v>555</v>
      </c>
    </row>
    <row r="27" spans="1:3" ht="18.75">
      <c r="A27" s="431"/>
      <c r="B27" s="351">
        <v>3</v>
      </c>
      <c r="C27" s="345" t="s">
        <v>556</v>
      </c>
    </row>
    <row r="28" spans="1:3" ht="15.75">
      <c r="A28" s="431"/>
      <c r="B28" s="351">
        <v>4</v>
      </c>
      <c r="C28" s="345" t="s">
        <v>557</v>
      </c>
    </row>
    <row r="29" spans="1:3" ht="18.75">
      <c r="A29" s="431"/>
      <c r="B29" s="351">
        <v>5</v>
      </c>
      <c r="C29" s="345" t="s">
        <v>558</v>
      </c>
    </row>
    <row r="30" spans="1:3" ht="18.75">
      <c r="A30" s="431"/>
      <c r="B30" s="351">
        <v>6</v>
      </c>
      <c r="C30" s="345" t="s">
        <v>559</v>
      </c>
    </row>
    <row r="31" spans="1:3" ht="15.75">
      <c r="A31" s="431"/>
      <c r="B31" s="351">
        <v>7</v>
      </c>
      <c r="C31" s="345" t="s">
        <v>560</v>
      </c>
    </row>
    <row r="32" spans="1:3" ht="15.75">
      <c r="A32" s="431"/>
      <c r="B32" s="351">
        <v>8</v>
      </c>
      <c r="C32" s="345" t="s">
        <v>561</v>
      </c>
    </row>
    <row r="33" spans="1:3" ht="18.75">
      <c r="A33" s="431"/>
      <c r="B33" s="351">
        <v>9</v>
      </c>
      <c r="C33" s="345" t="s">
        <v>562</v>
      </c>
    </row>
    <row r="34" spans="1:3" ht="15.75">
      <c r="A34" s="431"/>
      <c r="B34" s="351">
        <v>10</v>
      </c>
      <c r="C34" s="345" t="s">
        <v>563</v>
      </c>
    </row>
    <row r="35" spans="1:3" ht="15.75">
      <c r="A35" s="431"/>
      <c r="B35" s="351">
        <v>11</v>
      </c>
      <c r="C35" s="345" t="s">
        <v>564</v>
      </c>
    </row>
    <row r="36" spans="1:3" ht="15.75">
      <c r="A36" s="431" t="s">
        <v>503</v>
      </c>
      <c r="B36" s="351">
        <v>1</v>
      </c>
      <c r="C36" s="346" t="s">
        <v>565</v>
      </c>
    </row>
    <row r="37" spans="1:3" ht="15.75">
      <c r="A37" s="431"/>
      <c r="B37" s="351">
        <v>2</v>
      </c>
      <c r="C37" s="346" t="s">
        <v>566</v>
      </c>
    </row>
    <row r="38" spans="1:3" ht="15.75">
      <c r="A38" s="431"/>
      <c r="B38" s="351">
        <v>3</v>
      </c>
      <c r="C38" s="346" t="s">
        <v>543</v>
      </c>
    </row>
    <row r="39" spans="1:3" ht="18.75">
      <c r="A39" s="431"/>
      <c r="B39" s="351">
        <v>4</v>
      </c>
      <c r="C39" s="346" t="s">
        <v>567</v>
      </c>
    </row>
    <row r="40" spans="1:3" ht="15.75">
      <c r="A40" s="431"/>
      <c r="B40" s="351">
        <v>5</v>
      </c>
      <c r="C40" s="346" t="s">
        <v>568</v>
      </c>
    </row>
    <row r="41" spans="1:3" ht="15.75">
      <c r="A41" s="431"/>
      <c r="B41" s="351">
        <v>6</v>
      </c>
      <c r="C41" s="346" t="s">
        <v>569</v>
      </c>
    </row>
    <row r="42" spans="1:3" ht="15.75">
      <c r="A42" s="431"/>
      <c r="B42" s="351">
        <v>7</v>
      </c>
      <c r="C42" s="346" t="s">
        <v>570</v>
      </c>
    </row>
    <row r="43" spans="1:3" ht="15.75">
      <c r="A43" s="431"/>
      <c r="B43" s="351">
        <v>8</v>
      </c>
      <c r="C43" s="346" t="s">
        <v>571</v>
      </c>
    </row>
    <row r="44" spans="1:3" ht="18.75">
      <c r="A44" s="431"/>
      <c r="B44" s="351">
        <v>9</v>
      </c>
      <c r="C44" s="346" t="s">
        <v>572</v>
      </c>
    </row>
    <row r="45" spans="1:3" ht="15.75">
      <c r="A45" s="431"/>
      <c r="B45" s="351">
        <v>10</v>
      </c>
      <c r="C45" s="346" t="s">
        <v>573</v>
      </c>
    </row>
    <row r="46" spans="1:3" ht="15.75">
      <c r="A46" s="431"/>
      <c r="B46" s="351">
        <v>11</v>
      </c>
      <c r="C46" s="346" t="s">
        <v>574</v>
      </c>
    </row>
    <row r="47" spans="1:3" ht="15.75">
      <c r="A47" s="431" t="s">
        <v>504</v>
      </c>
      <c r="B47" s="351">
        <v>1</v>
      </c>
      <c r="C47" s="345" t="s">
        <v>575</v>
      </c>
    </row>
    <row r="48" spans="1:3" ht="15.75">
      <c r="A48" s="431"/>
      <c r="B48" s="351">
        <v>2</v>
      </c>
      <c r="C48" s="345" t="s">
        <v>576</v>
      </c>
    </row>
    <row r="49" spans="1:3" ht="18.75">
      <c r="A49" s="431"/>
      <c r="B49" s="351">
        <v>3</v>
      </c>
      <c r="C49" s="345" t="s">
        <v>577</v>
      </c>
    </row>
    <row r="50" spans="1:3" ht="15.75">
      <c r="A50" s="431"/>
      <c r="B50" s="351">
        <v>4</v>
      </c>
      <c r="C50" s="345" t="s">
        <v>578</v>
      </c>
    </row>
    <row r="51" spans="1:3" ht="15.75">
      <c r="A51" s="431"/>
      <c r="B51" s="351">
        <v>5</v>
      </c>
      <c r="C51" s="345" t="s">
        <v>579</v>
      </c>
    </row>
    <row r="52" spans="1:3" ht="15.75">
      <c r="A52" s="431"/>
      <c r="B52" s="351">
        <v>6</v>
      </c>
      <c r="C52" s="345" t="s">
        <v>580</v>
      </c>
    </row>
    <row r="53" spans="1:3" ht="15.75">
      <c r="A53" s="431"/>
      <c r="B53" s="351">
        <v>7</v>
      </c>
      <c r="C53" s="345" t="s">
        <v>581</v>
      </c>
    </row>
    <row r="54" spans="1:3" ht="18.75">
      <c r="A54" s="431"/>
      <c r="B54" s="351">
        <v>8</v>
      </c>
      <c r="C54" s="345" t="s">
        <v>582</v>
      </c>
    </row>
    <row r="55" spans="1:3" ht="15.75">
      <c r="A55" s="431"/>
      <c r="B55" s="351">
        <v>9</v>
      </c>
      <c r="C55" s="345" t="s">
        <v>583</v>
      </c>
    </row>
    <row r="56" spans="1:3" ht="18.75">
      <c r="A56" s="431"/>
      <c r="B56" s="351">
        <v>10</v>
      </c>
      <c r="C56" s="345" t="s">
        <v>584</v>
      </c>
    </row>
    <row r="57" spans="1:3" ht="15.75">
      <c r="A57" s="431"/>
      <c r="B57" s="351">
        <v>11</v>
      </c>
      <c r="C57" s="345" t="s">
        <v>585</v>
      </c>
    </row>
    <row r="58" spans="1:3" ht="15.75">
      <c r="A58" s="431"/>
      <c r="B58" s="351">
        <v>12</v>
      </c>
      <c r="C58" s="345" t="s">
        <v>557</v>
      </c>
    </row>
    <row r="59" spans="1:3" ht="18.75">
      <c r="A59" s="431"/>
      <c r="B59" s="351">
        <v>13</v>
      </c>
      <c r="C59" s="345" t="s">
        <v>586</v>
      </c>
    </row>
    <row r="60" spans="1:3" ht="15.75">
      <c r="A60" s="431"/>
      <c r="B60" s="351">
        <v>14</v>
      </c>
      <c r="C60" s="345" t="s">
        <v>587</v>
      </c>
    </row>
    <row r="61" spans="1:3" ht="15.75">
      <c r="A61" s="431" t="s">
        <v>505</v>
      </c>
      <c r="B61" s="351">
        <v>1</v>
      </c>
      <c r="C61" s="346" t="s">
        <v>588</v>
      </c>
    </row>
    <row r="62" spans="1:3" ht="15.75">
      <c r="A62" s="431"/>
      <c r="B62" s="351">
        <v>2</v>
      </c>
      <c r="C62" s="346" t="s">
        <v>589</v>
      </c>
    </row>
    <row r="63" spans="1:3" ht="15.75">
      <c r="A63" s="431"/>
      <c r="B63" s="351">
        <v>3</v>
      </c>
      <c r="C63" s="346" t="s">
        <v>557</v>
      </c>
    </row>
    <row r="64" spans="1:3" ht="18.75">
      <c r="A64" s="431"/>
      <c r="B64" s="351">
        <v>4</v>
      </c>
      <c r="C64" s="346" t="s">
        <v>567</v>
      </c>
    </row>
    <row r="65" spans="1:3" ht="15.75">
      <c r="A65" s="431"/>
      <c r="B65" s="351">
        <v>5</v>
      </c>
      <c r="C65" s="346" t="s">
        <v>568</v>
      </c>
    </row>
    <row r="66" spans="1:3" ht="18.75">
      <c r="A66" s="431" t="s">
        <v>506</v>
      </c>
      <c r="B66" s="351">
        <v>1</v>
      </c>
      <c r="C66" s="346" t="s">
        <v>590</v>
      </c>
    </row>
    <row r="67" spans="1:3" ht="15.75">
      <c r="A67" s="431"/>
      <c r="B67" s="351">
        <v>2</v>
      </c>
      <c r="C67" s="346" t="s">
        <v>591</v>
      </c>
    </row>
    <row r="68" spans="1:3" ht="31.5">
      <c r="A68" s="431"/>
      <c r="B68" s="351">
        <v>3</v>
      </c>
      <c r="C68" s="346" t="s">
        <v>592</v>
      </c>
    </row>
    <row r="69" spans="1:3" ht="15.75">
      <c r="A69" s="431"/>
      <c r="B69" s="351">
        <v>4</v>
      </c>
      <c r="C69" s="346" t="s">
        <v>593</v>
      </c>
    </row>
    <row r="70" spans="1:3" ht="15.75">
      <c r="A70" s="431"/>
      <c r="B70" s="351">
        <v>5</v>
      </c>
      <c r="C70" s="346" t="s">
        <v>594</v>
      </c>
    </row>
    <row r="71" spans="1:3" ht="15.75">
      <c r="A71" s="431"/>
      <c r="B71" s="351">
        <v>6</v>
      </c>
      <c r="C71" s="346" t="s">
        <v>565</v>
      </c>
    </row>
    <row r="72" spans="1:3" ht="15.75">
      <c r="A72" s="431"/>
      <c r="B72" s="351">
        <v>7</v>
      </c>
      <c r="C72" s="346" t="s">
        <v>595</v>
      </c>
    </row>
    <row r="73" spans="1:3" ht="15.75">
      <c r="A73" s="431"/>
      <c r="B73" s="351">
        <v>8</v>
      </c>
      <c r="C73" s="346" t="s">
        <v>596</v>
      </c>
    </row>
    <row r="74" spans="1:3" ht="15.75">
      <c r="A74" s="431"/>
      <c r="B74" s="351">
        <v>9</v>
      </c>
      <c r="C74" s="346" t="s">
        <v>597</v>
      </c>
    </row>
    <row r="75" spans="1:3" ht="15.75">
      <c r="A75" s="431" t="s">
        <v>507</v>
      </c>
      <c r="B75" s="351">
        <v>1</v>
      </c>
      <c r="C75" s="346" t="s">
        <v>579</v>
      </c>
    </row>
    <row r="76" spans="1:3" ht="15.75">
      <c r="A76" s="431"/>
      <c r="B76" s="351">
        <v>2</v>
      </c>
      <c r="C76" s="346" t="s">
        <v>598</v>
      </c>
    </row>
    <row r="77" spans="1:3" ht="15.75">
      <c r="A77" s="431"/>
      <c r="B77" s="351">
        <v>3</v>
      </c>
      <c r="C77" s="346" t="s">
        <v>599</v>
      </c>
    </row>
    <row r="78" spans="1:3" ht="15.75">
      <c r="A78" s="431"/>
      <c r="B78" s="351">
        <v>4</v>
      </c>
      <c r="C78" s="346" t="s">
        <v>600</v>
      </c>
    </row>
    <row r="79" spans="1:3" ht="18.75">
      <c r="A79" s="431"/>
      <c r="B79" s="351">
        <v>5</v>
      </c>
      <c r="C79" s="346" t="s">
        <v>601</v>
      </c>
    </row>
    <row r="80" spans="1:3" ht="15.75">
      <c r="A80" s="431"/>
      <c r="B80" s="351">
        <v>6</v>
      </c>
      <c r="C80" s="346" t="s">
        <v>602</v>
      </c>
    </row>
  </sheetData>
  <sheetProtection/>
  <mergeCells count="10">
    <mergeCell ref="A47:A60"/>
    <mergeCell ref="A61:A65"/>
    <mergeCell ref="A66:A74"/>
    <mergeCell ref="A75:A80"/>
    <mergeCell ref="A4:C4"/>
    <mergeCell ref="A5:C5"/>
    <mergeCell ref="A6:C6"/>
    <mergeCell ref="A9:A24"/>
    <mergeCell ref="A25:A35"/>
    <mergeCell ref="A36:A46"/>
  </mergeCells>
  <printOptions/>
  <pageMargins left="0.7086614173228347" right="0.11811023622047245" top="0.7480314960629921" bottom="0.35433070866141736" header="0" footer="0"/>
  <pageSetup fitToHeight="2" horizontalDpi="600" verticalDpi="600" orientation="portrait" paperSize="9" scale="88" r:id="rId1"/>
  <rowBreaks count="1" manualBreakCount="1"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2017-12-07T01:46:11Z</dcterms:modified>
  <cp:category/>
  <cp:version/>
  <cp:contentType/>
  <cp:contentStatus/>
</cp:coreProperties>
</file>