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4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6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640" tabRatio="937" activeTab="0"/>
  </bookViews>
  <sheets>
    <sheet name="Окончательный Прогноз 2019-2021" sheetId="1" r:id="rId1"/>
    <sheet name="Прогноз 2019-2021" sheetId="2" state="hidden" r:id="rId2"/>
    <sheet name="Диаграмма1" sheetId="3" state="hidden" r:id="rId3"/>
    <sheet name="Золото" sheetId="4" state="hidden" r:id="rId4"/>
    <sheet name="Численность ГО Эгвекинот" sheetId="5" state="hidden" r:id="rId5"/>
    <sheet name="Численности ИМР" sheetId="6" state="hidden" r:id="rId6"/>
    <sheet name="Хлеб и КСМ" sheetId="7" state="hidden" r:id="rId7"/>
    <sheet name="Торговля и общ пит." sheetId="8" state="hidden" r:id="rId8"/>
    <sheet name="Платные услуги " sheetId="9" state="hidden" r:id="rId9"/>
    <sheet name="Строительство" sheetId="10" state="hidden" r:id="rId10"/>
    <sheet name="Оленеводство" sheetId="11" state="hidden" r:id="rId11"/>
    <sheet name="Анкальыт" sheetId="12" state="hidden" r:id="rId12"/>
    <sheet name="Морзверь" sheetId="13" state="hidden" r:id="rId13"/>
    <sheet name="Электро" sheetId="14" state="hidden" r:id="rId14"/>
    <sheet name="Тепло" sheetId="15" state="hidden" r:id="rId15"/>
    <sheet name="Соцвыплаты" sheetId="16" state="hidden" r:id="rId16"/>
    <sheet name="СЗПТ" sheetId="17" state="hidden" r:id="rId17"/>
    <sheet name="Лист1" sheetId="18" state="hidden" r:id="rId18"/>
    <sheet name="Лист3" sheetId="19" state="hidden" r:id="rId19"/>
  </sheets>
  <definedNames>
    <definedName name="_xlnm.Print_Area" localSheetId="3">'Золото'!$A$1:$M$20</definedName>
    <definedName name="_xlnm.Print_Area" localSheetId="12">'Морзверь'!$A$1:$S$34</definedName>
    <definedName name="_xlnm.Print_Area" localSheetId="0">'Окончательный Прогноз 2019-2021'!$A$1:$P$107</definedName>
    <definedName name="_xlnm.Print_Area" localSheetId="10">'Оленеводство'!$A$1:$K$48</definedName>
    <definedName name="_xlnm.Print_Area" localSheetId="1">'Прогноз 2019-2021'!$A$1:$P$180</definedName>
    <definedName name="_xlnm.Print_Area" localSheetId="15">'Соцвыплаты'!$A$1:$K$33</definedName>
    <definedName name="_xlnm.Print_Area" localSheetId="14">'Тепло'!$A$1:$L$18</definedName>
    <definedName name="_xlnm.Print_Area" localSheetId="6">'Хлеб и КСМ'!$A$1:$BJ$23</definedName>
    <definedName name="_xlnm.Print_Area" localSheetId="4">'Численность ГО Эгвекинот'!$A$1:$Y$30</definedName>
    <definedName name="_xlnm.Print_Area" localSheetId="13">'Электро'!$A$1:$L$38</definedName>
  </definedNames>
  <calcPr fullCalcOnLoad="1"/>
</workbook>
</file>

<file path=xl/comments1.xml><?xml version="1.0" encoding="utf-8"?>
<comments xmlns="http://schemas.openxmlformats.org/spreadsheetml/2006/main">
  <authors>
    <author>Roman</author>
    <author>Денис В. Гайдуков</author>
    <author>Fino-10</author>
    <author>Татьяна В. Логинова</author>
    <author>fino-10</author>
  </authors>
  <commentList>
    <comment ref="A12" authorId="0">
      <text>
        <r>
          <rPr>
            <b/>
            <sz val="8"/>
            <rFont val="Tahoma"/>
            <family val="2"/>
          </rPr>
          <t>Roman:</t>
        </r>
        <r>
          <rPr>
            <sz val="8"/>
            <rFont val="Tahoma"/>
            <family val="2"/>
          </rPr>
          <t xml:space="preserve">
Добыча полезных ископаемых+производство и распределение теплоэнергии и электроэнергии и воды</t>
        </r>
      </text>
    </comment>
    <comment ref="A13" authorId="1">
      <text>
        <r>
          <rPr>
            <sz val="9"/>
            <rFont val="Tahoma"/>
            <family val="2"/>
          </rPr>
          <t xml:space="preserve">Данные ЭГРЭС + Чукоткоммунхоз + Объем золота * на стоимость 1 грамма </t>
        </r>
      </text>
    </comment>
    <comment ref="C13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добыча полезных ископаемых
производство электроэнергии ЭГРЭС</t>
        </r>
      </text>
    </comment>
    <comment ref="D13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за счет увеличения отгруженных товаров в добыче полезных ископаемых</t>
        </r>
      </text>
    </comment>
    <comment ref="A29" authorId="1">
      <text>
        <r>
          <rPr>
            <b/>
            <sz val="9"/>
            <rFont val="Tahoma"/>
            <family val="2"/>
          </rPr>
          <t>МУСХП "Возрождение" "Амгуэма" "Пионер"</t>
        </r>
        <r>
          <rPr>
            <sz val="9"/>
            <rFont val="Tahoma"/>
            <family val="2"/>
          </rPr>
          <t xml:space="preserve">
</t>
        </r>
      </text>
    </comment>
    <comment ref="A31" authorId="1">
      <text>
        <r>
          <rPr>
            <b/>
            <sz val="9"/>
            <rFont val="Tahoma"/>
            <family val="2"/>
          </rPr>
          <t>Анкальыт</t>
        </r>
      </text>
    </comment>
    <comment ref="A44" authorId="1">
      <text>
        <r>
          <rPr>
            <b/>
            <sz val="9"/>
            <rFont val="Tahoma"/>
            <family val="2"/>
          </rPr>
          <t xml:space="preserve">Постановление 72-па от 30.11.2012 (Подъезд до с.Амгуэма- 1,142 км и до с.Дорожный - 2,028 км.
</t>
        </r>
        <r>
          <rPr>
            <sz val="9"/>
            <rFont val="Tahoma"/>
            <family val="2"/>
          </rPr>
          <t xml:space="preserve">
</t>
        </r>
      </text>
    </comment>
    <comment ref="A48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E48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A53" authorId="4">
      <text>
        <r>
          <rPr>
            <b/>
            <sz val="8"/>
            <rFont val="Tahoma"/>
            <family val="2"/>
          </rPr>
          <t xml:space="preserve">Кутынская и Иультинторг - гостиницы, такси, парикмахерские
</t>
        </r>
      </text>
    </comment>
    <comment ref="A55" authorId="1">
      <text>
        <r>
          <rPr>
            <b/>
            <sz val="9"/>
            <rFont val="Tahoma"/>
            <family val="2"/>
          </rPr>
          <t xml:space="preserve">Запрашиваем в Администрации
</t>
        </r>
      </text>
    </comment>
    <comment ref="C60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Реестр МК: ремонты</t>
        </r>
      </text>
    </comment>
    <comment ref="E60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строительство гаража-каток</t>
        </r>
      </text>
    </comment>
    <comment ref="F60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строительство гаража-каток</t>
        </r>
      </text>
    </comment>
    <comment ref="A62" authorId="1">
      <text>
        <r>
          <rPr>
            <b/>
            <sz val="9"/>
            <rFont val="Tahoma"/>
            <family val="2"/>
          </rPr>
          <t xml:space="preserve">Численность берем со статсборников январь-декабрь 
</t>
        </r>
      </text>
    </comment>
    <comment ref="A76" authorId="1">
      <text>
        <r>
          <rPr>
            <b/>
            <sz val="9"/>
            <rFont val="Tahoma"/>
            <family val="2"/>
          </rPr>
          <t xml:space="preserve">Добавляем ЧОКСОН и Соцподдержка
</t>
        </r>
      </text>
    </comment>
    <comment ref="A77" authorId="1">
      <text>
        <r>
          <rPr>
            <b/>
            <sz val="9"/>
            <rFont val="Tahoma"/>
            <family val="2"/>
          </rPr>
          <t>Данные пенсионного Соцстрах и Центра занятости</t>
        </r>
      </text>
    </comment>
    <comment ref="A78" authorId="4">
      <text>
        <r>
          <rPr>
            <b/>
            <sz val="8"/>
            <rFont val="Tahoma"/>
            <family val="2"/>
          </rPr>
          <t>fino-10:доходы населения от собственности, в том числе дивиденды, проценты, по вкладам, выплаты дохода по государственным и другим ценным бумагам, предварительная компенсация по вкладам граждан, доходы населения от продажи недвижимости на вторичном рынке жилья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выигрыши по лотереям;
доходы населения от продажи иностранной валюты (коммерческим банкам и Сбербанку России);
деньги, полученные по переводам (за вычетом переведенных и внесенных сумм).
прочие поступления, в том числе: от продажи утильсырья, металлолома и др. (несельскохозяйственные заготовки), другие доходы;</t>
        </r>
      </text>
    </comment>
    <comment ref="F78" authorId="4">
      <text>
        <r>
          <rPr>
            <b/>
            <sz val="8"/>
            <rFont val="Tahoma"/>
            <family val="2"/>
          </rPr>
          <t xml:space="preserve">% выплаченные вкладчикам: 
Колыма 3,614 млн. Сбер- около 2
</t>
        </r>
      </text>
    </comment>
    <comment ref="A79" authorId="1">
      <text>
        <r>
          <rPr>
            <b/>
            <sz val="9"/>
            <rFont val="Tahoma"/>
            <family val="2"/>
          </rPr>
          <t>Взяли с прогноза округа</t>
        </r>
      </text>
    </comment>
    <comment ref="E83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площадь с БЖ</t>
        </r>
      </text>
    </comment>
    <comment ref="F83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площадь с БЖ</t>
        </r>
      </text>
    </comment>
    <comment ref="A84" authorId="2">
      <text>
        <r>
          <rPr>
            <b/>
            <sz val="8"/>
            <rFont val="Tahoma"/>
            <family val="2"/>
          </rPr>
          <t xml:space="preserve">Берем из формы 22 ЖКХ раздел № 3 столбец 7   итого. Убирем НДС 18%
</t>
        </r>
      </text>
    </comment>
    <comment ref="E84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22ЖКХ, 3 раздел</t>
        </r>
      </text>
    </comment>
    <comment ref="F84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22ЖКХ, 3 раздел</t>
        </r>
      </text>
    </comment>
    <comment ref="A85" authorId="1">
      <text>
        <r>
          <rPr>
            <b/>
            <sz val="9"/>
            <rFont val="Tahoma"/>
            <family val="2"/>
          </rPr>
          <t xml:space="preserve">берем из формы 22 ЖКХ раздел № 3 столбец 4/на столбец 3 
Свод по форме 222 ЖКХ готовит Администрация
</t>
        </r>
        <r>
          <rPr>
            <sz val="9"/>
            <rFont val="Tahoma"/>
            <family val="2"/>
          </rPr>
          <t xml:space="preserve">
</t>
        </r>
      </text>
    </comment>
    <comment ref="A86" authorId="4">
      <text>
        <r>
          <rPr>
            <sz val="8"/>
            <rFont val="Tahoma"/>
            <family val="2"/>
          </rPr>
          <t>Все (ощеобразовательная, школы коплексы, дошкольные учвреждения) 
кроме коррекции</t>
        </r>
      </text>
    </comment>
    <comment ref="A87" authorId="4">
      <text>
        <r>
          <rPr>
            <sz val="8"/>
            <rFont val="Tahoma"/>
            <family val="2"/>
          </rPr>
          <t xml:space="preserve">Узнавать в Профес. Училище, в учебной части 2-29-93
</t>
        </r>
      </text>
    </comment>
    <comment ref="N104" authorId="1">
      <text>
        <r>
          <rPr>
            <b/>
            <sz val="9"/>
            <rFont val="Tahoma"/>
            <family val="2"/>
          </rPr>
          <t xml:space="preserve">Взял с данных предприятий
Индекс пром производства берем с окружного прогноза 
</t>
        </r>
      </text>
    </comment>
    <comment ref="O104" authorId="1">
      <text>
        <r>
          <rPr>
            <b/>
            <sz val="9"/>
            <rFont val="Tahoma"/>
            <family val="2"/>
          </rPr>
          <t xml:space="preserve">Взял с данных предприятий
Индекс пром производства берем с окружного прогноза 
</t>
        </r>
      </text>
    </comment>
    <comment ref="P104" authorId="1">
      <text>
        <r>
          <rPr>
            <b/>
            <sz val="9"/>
            <rFont val="Tahoma"/>
            <family val="2"/>
          </rPr>
          <t xml:space="preserve">Взял с данных предприятий
Индекс пром производства берем с окружного прогноза 
</t>
        </r>
      </text>
    </comment>
    <comment ref="D105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85,3 Конергино
63 Амгуэма
82 Пионер
</t>
        </r>
      </text>
    </comment>
    <comment ref="E105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46 Конергино
242 Амгуэма
69 Пионер
52,339 Анкальыт</t>
        </r>
      </text>
    </comment>
    <comment ref="A37" authorId="4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Хлеб, молоко</t>
        </r>
      </text>
    </comment>
    <comment ref="A38" authorId="1">
      <text>
        <r>
          <rPr>
            <b/>
            <sz val="9"/>
            <rFont val="Tahoma"/>
            <family val="2"/>
          </rPr>
          <t>Хлеб и кисломолочка</t>
        </r>
      </text>
    </comment>
    <comment ref="D38" authorId="4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молочные 443,14 т.р.
Хлебобулочные 12 492,11 т.р.</t>
        </r>
      </text>
    </comment>
    <comment ref="E38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F38" authorId="3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кис-мол.прод + хлеб</t>
        </r>
      </text>
    </comment>
  </commentList>
</comments>
</file>

<file path=xl/comments14.xml><?xml version="1.0" encoding="utf-8"?>
<comments xmlns="http://schemas.openxmlformats.org/spreadsheetml/2006/main">
  <authors>
    <author>Денис В. Гайдуков</author>
  </authors>
  <commentList>
    <comment ref="H10" authorId="0">
      <text>
        <r>
          <rPr>
            <b/>
            <sz val="9"/>
            <rFont val="Tahoma"/>
            <family val="2"/>
          </rPr>
          <t xml:space="preserve">Добавилось СПК (кооператив, забойный пункт) </t>
        </r>
      </text>
    </comment>
  </commentList>
</comments>
</file>

<file path=xl/comments16.xml><?xml version="1.0" encoding="utf-8"?>
<comments xmlns="http://schemas.openxmlformats.org/spreadsheetml/2006/main">
  <authors>
    <author>Денис В. Гайдуков</author>
  </authors>
  <commentList>
    <comment ref="A5" authorId="0">
      <text>
        <r>
          <rPr>
            <b/>
            <sz val="9"/>
            <rFont val="Tahoma"/>
            <family val="2"/>
          </rPr>
          <t>Бердникова Т.Г.</t>
        </r>
      </text>
    </comment>
    <comment ref="A6" authorId="0">
      <text>
        <r>
          <rPr>
            <b/>
            <sz val="9"/>
            <rFont val="Tahoma"/>
            <family val="2"/>
          </rPr>
          <t>Яковенко А.Я.</t>
        </r>
      </text>
    </comment>
    <comment ref="A7" authorId="0">
      <text>
        <r>
          <rPr>
            <b/>
            <sz val="9"/>
            <rFont val="Tahoma"/>
            <family val="2"/>
          </rPr>
          <t>Департамент соцполитики и Нестерова М.М.</t>
        </r>
      </text>
    </comment>
    <comment ref="A17" authorId="0">
      <text>
        <r>
          <rPr>
            <b/>
            <sz val="9"/>
            <rFont val="Tahoma"/>
            <family val="0"/>
          </rPr>
          <t>Нестерова М.М.</t>
        </r>
      </text>
    </comment>
    <comment ref="A18" authorId="0">
      <text>
        <r>
          <rPr>
            <b/>
            <sz val="9"/>
            <rFont val="Tahoma"/>
            <family val="0"/>
          </rPr>
          <t>Нестерова М.М.</t>
        </r>
      </text>
    </comment>
    <comment ref="A19" authorId="0">
      <text>
        <r>
          <rPr>
            <b/>
            <sz val="9"/>
            <rFont val="Tahoma"/>
            <family val="0"/>
          </rPr>
          <t>Нестерова М.М.</t>
        </r>
      </text>
    </comment>
    <comment ref="A15" authorId="0">
      <text>
        <r>
          <rPr>
            <b/>
            <sz val="9"/>
            <rFont val="Tahoma"/>
            <family val="0"/>
          </rPr>
          <t xml:space="preserve"> Департамент Соцполитики</t>
        </r>
      </text>
    </comment>
    <comment ref="A16" authorId="0">
      <text>
        <r>
          <rPr>
            <b/>
            <sz val="9"/>
            <rFont val="Tahoma"/>
            <family val="0"/>
          </rPr>
          <t xml:space="preserve"> Департамент Соцполитики</t>
        </r>
      </text>
    </comment>
    <comment ref="H15" authorId="0">
      <text>
        <r>
          <rPr>
            <b/>
            <sz val="9"/>
            <rFont val="Tahoma"/>
            <family val="2"/>
          </rPr>
          <t>по состоянию  на 01.10.2018</t>
        </r>
      </text>
    </comment>
    <comment ref="H16" authorId="0">
      <text>
        <r>
          <rPr>
            <b/>
            <sz val="9"/>
            <rFont val="Tahoma"/>
            <family val="2"/>
          </rPr>
          <t>по состоянию  на 01.10.2018</t>
        </r>
      </text>
    </comment>
  </commentList>
</comments>
</file>

<file path=xl/comments2.xml><?xml version="1.0" encoding="utf-8"?>
<comments xmlns="http://schemas.openxmlformats.org/spreadsheetml/2006/main">
  <authors>
    <author>Roman</author>
    <author>Денис В. Гайдуков</author>
    <author>Fino-10</author>
    <author>fino-10</author>
    <author>Татьяна В. Логинова</author>
  </authors>
  <commentList>
    <comment ref="A13" authorId="0">
      <text>
        <r>
          <rPr>
            <b/>
            <sz val="8"/>
            <rFont val="Tahoma"/>
            <family val="2"/>
          </rPr>
          <t>Roman:</t>
        </r>
        <r>
          <rPr>
            <sz val="8"/>
            <rFont val="Tahoma"/>
            <family val="2"/>
          </rPr>
          <t xml:space="preserve">
Добыча полезных ископаемых+производство и распределение теплоэнергии и электроэнергии и воды</t>
        </r>
      </text>
    </comment>
    <comment ref="A14" authorId="1">
      <text>
        <r>
          <rPr>
            <sz val="9"/>
            <rFont val="Tahoma"/>
            <family val="2"/>
          </rPr>
          <t xml:space="preserve">Данные ЭГРЭС + Чукоткоммунхоз + Объем золота * на стоимость 1 грамма </t>
        </r>
      </text>
    </comment>
    <comment ref="C14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добыча полезных ископаемых
производство электроэнергии ЭГРЭС</t>
        </r>
      </text>
    </comment>
    <comment ref="D14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за счет увеличения отгруженных товаров в добыче полезных ископаемых</t>
        </r>
      </text>
    </comment>
    <comment ref="A20" authorId="3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Хлеб, молоко</t>
        </r>
      </text>
    </comment>
    <comment ref="D21" authorId="3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молочные 443,14 т.р.
Хлебобулочные 12 492,11 т.р.</t>
        </r>
      </text>
    </comment>
    <comment ref="E21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F21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A47" authorId="1">
      <text>
        <r>
          <rPr>
            <b/>
            <sz val="9"/>
            <rFont val="Tahoma"/>
            <family val="2"/>
          </rPr>
          <t xml:space="preserve">Постановление 72-па от 30.11.2012 (Подъезд до с.Амгуэма- 1,142 км и до с.Дорожный - 2,028 км.
</t>
        </r>
        <r>
          <rPr>
            <sz val="9"/>
            <rFont val="Tahoma"/>
            <family val="2"/>
          </rPr>
          <t xml:space="preserve">
</t>
        </r>
      </text>
    </comment>
    <comment ref="A51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E51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A56" authorId="3">
      <text>
        <r>
          <rPr>
            <b/>
            <sz val="8"/>
            <rFont val="Tahoma"/>
            <family val="2"/>
          </rPr>
          <t xml:space="preserve">Кутынская и Иультинторг - гостиницы, такси, парикмахерские
</t>
        </r>
      </text>
    </comment>
    <comment ref="E61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F61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A63" authorId="3">
      <text>
        <r>
          <rPr>
            <b/>
            <sz val="8"/>
            <rFont val="Tahoma"/>
            <family val="2"/>
          </rPr>
          <t xml:space="preserve">Кутынская и Иультинторг - гостиницы и такси
</t>
        </r>
      </text>
    </comment>
    <comment ref="H68" authorId="1">
      <text>
        <r>
          <rPr>
            <b/>
            <sz val="9"/>
            <rFont val="Tahoma"/>
            <family val="2"/>
          </rPr>
          <t>Данные берем с таблицы строительство</t>
        </r>
      </text>
    </comment>
    <comment ref="A69" authorId="4">
      <text>
        <r>
          <rPr>
            <sz val="9"/>
            <rFont val="Tahoma"/>
            <family val="2"/>
          </rPr>
          <t>кис-мол.прод + хлеб</t>
        </r>
      </text>
    </comment>
    <comment ref="E69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F69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H71" authorId="1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N71" authorId="1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O71" authorId="1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P71" authorId="1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H73" authorId="1">
      <text>
        <r>
          <rPr>
            <sz val="9"/>
            <rFont val="Tahoma"/>
            <family val="2"/>
          </rPr>
          <t xml:space="preserve">
Данные берем с таблицы Торговля и услуги </t>
        </r>
      </text>
    </comment>
    <comment ref="A74" authorId="1">
      <text>
        <r>
          <rPr>
            <b/>
            <sz val="9"/>
            <rFont val="Tahoma"/>
            <family val="2"/>
          </rPr>
          <t xml:space="preserve">Запрашиваем в Администрации
</t>
        </r>
      </text>
    </comment>
    <comment ref="C77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Реестр МК: ремонты</t>
        </r>
      </text>
    </comment>
    <comment ref="E77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строительство гаража-каток</t>
        </r>
      </text>
    </comment>
    <comment ref="F77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строительство гаража-каток</t>
        </r>
      </text>
    </comment>
    <comment ref="C78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Узнавали у Дворецкого, Чукотстройзаказчик, что строилось из внебюджетных источников</t>
        </r>
      </text>
    </comment>
    <comment ref="D82" authorId="3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+900 человек другие сферы</t>
        </r>
      </text>
    </comment>
    <comment ref="A83" authorId="1">
      <text>
        <r>
          <rPr>
            <b/>
            <sz val="9"/>
            <rFont val="Tahoma"/>
            <family val="2"/>
          </rPr>
          <t xml:space="preserve">Численность берем со статсборников январь-декабрь 
</t>
        </r>
      </text>
    </comment>
    <comment ref="D104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в отрасли строительство снижение</t>
        </r>
      </text>
    </comment>
    <comment ref="D105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снижение прочие социальные и персональные услуги</t>
        </r>
      </text>
    </comment>
    <comment ref="A110" authorId="1">
      <text>
        <r>
          <rPr>
            <b/>
            <sz val="9"/>
            <rFont val="Tahoma"/>
            <family val="2"/>
          </rPr>
          <t xml:space="preserve">Добавляем ЧОКСОН и Соцподдержка
</t>
        </r>
      </text>
    </comment>
    <comment ref="A111" authorId="1">
      <text>
        <r>
          <rPr>
            <b/>
            <sz val="9"/>
            <rFont val="Tahoma"/>
            <family val="2"/>
          </rPr>
          <t>Данные пенсионного Соцстрах и Центра занятости</t>
        </r>
      </text>
    </comment>
    <comment ref="A112" authorId="3">
      <text>
        <r>
          <rPr>
            <b/>
            <sz val="8"/>
            <rFont val="Tahoma"/>
            <family val="2"/>
          </rPr>
          <t>fino-10:доходы населения от собственности, в том числе дивиденды, проценты, по вкладам, выплаты дохода по государственным и другим ценным бумагам, предварительная компенсация по вкладам граждан, доходы населения от продажи недвижимости на вторичном рынке жилья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выигрыши по лотереям;
доходы населения от продажи иностранной валюты (коммерческим банкам и Сбербанку России);
деньги, полученные по переводам (за вычетом переведенных и внесенных сумм).
прочие поступления, в том числе: от продажи утильсырья, металлолома и др. (несельскохозяйственные заготовки), другие доходы;</t>
        </r>
      </text>
    </comment>
    <comment ref="F112" authorId="3">
      <text>
        <r>
          <rPr>
            <b/>
            <sz val="8"/>
            <rFont val="Tahoma"/>
            <family val="2"/>
          </rPr>
          <t xml:space="preserve">% выплаченные вкладчикам: 
Колыма 3,614 млн. Сбер- около 2
</t>
        </r>
      </text>
    </comment>
    <comment ref="A117" authorId="3">
      <text>
        <r>
          <rPr>
            <b/>
            <sz val="8"/>
            <rFont val="Tahoma"/>
            <family val="2"/>
          </rPr>
          <t xml:space="preserve">В эту статью включаются: прирост (уменьшение) вкладов в учреждениях Сбербанка; прирост (уменьшение) вкладов в кредитных организациях прирост (уменьшение) средств физических лиц, депонированных в банках, для расчетов с использованием банковских карт; приобретение государственных и других ценных бумаг.
</t>
        </r>
        <r>
          <rPr>
            <b/>
            <i/>
            <sz val="8"/>
            <rFont val="Tahoma"/>
            <family val="2"/>
          </rPr>
          <t>Прогноз прироста вкладов населения в кредитных организациях счет № 423 (кроме № 42308), производится на основании анализа данных за отчетный период, рассчитываемых как разность между остатками этих средств на его начало и коне</t>
        </r>
        <r>
          <rPr>
            <b/>
            <sz val="8"/>
            <rFont val="Tahoma"/>
            <family val="2"/>
          </rPr>
          <t xml:space="preserve">ц.
Расходы населения на покупку недвижимости.
Расходы населения на приобретение иностранной валюты.
Отправление денежных переводов имеет существенное значение для исчисления баланса денежных доходов, расходов и сбережений населения в территориальном разрезе.
Деньги, отправленные по переводам (за вычетом полученных сумм) уменьшают объем денежных ресурсов населения, предъявляемых в данном регионе (республике, крае, области) на покупку товаров и оплату услуг, и поэтому учитываются в расходной части баланса. 
Прогнозирование сумм, отправленных по переводам, производится на основе анализа данных о почтовых и телеграфных переводах через предприятия связи за отчетный период.
</t>
        </r>
      </text>
    </comment>
    <comment ref="F117" authorId="3">
      <text>
        <r>
          <rPr>
            <b/>
            <sz val="8"/>
            <rFont val="Tahoma"/>
            <family val="2"/>
          </rPr>
          <t>Вклады на 01.01.2011 - 219,92 млн. на 01.01.2012 - 237 млн. на 01.11.2012 - 226 млн. (на конец года 260 млн.)</t>
        </r>
      </text>
    </comment>
    <comment ref="A118" authorId="1">
      <text>
        <r>
          <rPr>
            <b/>
            <sz val="9"/>
            <rFont val="Tahoma"/>
            <family val="2"/>
          </rPr>
          <t>Взяли с прогноза округа</t>
        </r>
      </text>
    </comment>
    <comment ref="D131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уменьшение показателя по шмидтовскому</t>
        </r>
      </text>
    </comment>
    <comment ref="D132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в связи с переходом на 100% оплату жилищных услуг населением</t>
        </r>
      </text>
    </comment>
    <comment ref="A137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Услуги гостиниц
Физической культуры
Правовые</t>
        </r>
      </text>
    </comment>
    <comment ref="D137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нет показателей по гостиницам</t>
        </r>
      </text>
    </comment>
    <comment ref="E147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площадь с БЖ</t>
        </r>
      </text>
    </comment>
    <comment ref="F147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площадь с БЖ</t>
        </r>
      </text>
    </comment>
    <comment ref="A148" authorId="2">
      <text>
        <r>
          <rPr>
            <b/>
            <sz val="8"/>
            <rFont val="Tahoma"/>
            <family val="2"/>
          </rPr>
          <t xml:space="preserve">Берем из формы 22 ЖКХ раздел № 3 столбец 7   итого. Убирем НДС 18%
</t>
        </r>
      </text>
    </comment>
    <comment ref="E148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22ЖКХ, 3 раздел</t>
        </r>
      </text>
    </comment>
    <comment ref="F148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22ЖКХ, 3 раздел</t>
        </r>
      </text>
    </comment>
    <comment ref="A149" authorId="1">
      <text>
        <r>
          <rPr>
            <b/>
            <sz val="9"/>
            <rFont val="Tahoma"/>
            <family val="2"/>
          </rPr>
          <t xml:space="preserve">берем из формы 22 ЖКХ раздел № 3 столбец 4/на столбец 3 
Свод по форме 222 ЖКХ готовит Администрация
</t>
        </r>
        <r>
          <rPr>
            <sz val="9"/>
            <rFont val="Tahoma"/>
            <family val="2"/>
          </rPr>
          <t xml:space="preserve">
</t>
        </r>
      </text>
    </comment>
    <comment ref="A150" authorId="3">
      <text>
        <r>
          <rPr>
            <sz val="8"/>
            <rFont val="Tahoma"/>
            <family val="2"/>
          </rPr>
          <t>Все (ощеобразовательная, школы коплексы, дошкольные учвреждения) 
кроме коррекции</t>
        </r>
      </text>
    </comment>
    <comment ref="A152" authorId="3">
      <text>
        <r>
          <rPr>
            <sz val="8"/>
            <rFont val="Tahoma"/>
            <family val="2"/>
          </rPr>
          <t xml:space="preserve">Узнавать в Профес. Училище, в учебной части 2-29-93
</t>
        </r>
      </text>
    </comment>
    <comment ref="B162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места в учреждениях/на кол-во детей*1000</t>
        </r>
      </text>
    </comment>
    <comment ref="A166" authorId="3">
      <text>
        <r>
          <rPr>
            <b/>
            <sz val="8"/>
            <rFont val="Tahoma"/>
            <family val="2"/>
          </rPr>
          <t xml:space="preserve">вложения в очистительные сооружения
</t>
        </r>
      </text>
    </comment>
    <comment ref="E166" authorId="4">
      <text>
        <r>
          <rPr>
            <b/>
            <sz val="9"/>
            <rFont val="Tahoma"/>
            <family val="2"/>
          </rPr>
          <t>Татьяна В. Логинова:</t>
        </r>
        <r>
          <rPr>
            <sz val="9"/>
            <rFont val="Tahoma"/>
            <family val="2"/>
          </rPr>
          <t xml:space="preserve">
ЧКХ плата за выбросы 2542487+налог за польз. Водными объектами 195835+ 50% ЭГРЭС</t>
        </r>
      </text>
    </comment>
    <comment ref="D169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342 куба подъем ЖКХ остальное ЭГРЭС на отопление </t>
        </r>
      </text>
    </comment>
    <comment ref="N177" authorId="1">
      <text>
        <r>
          <rPr>
            <b/>
            <sz val="9"/>
            <rFont val="Tahoma"/>
            <family val="2"/>
          </rPr>
          <t xml:space="preserve">Взял с данных предприятий
Индекс пром производства берем с окружного прогноза 
</t>
        </r>
      </text>
    </comment>
    <comment ref="D178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85,3 Конергино
63 Амгуэма
82 Пионер
</t>
        </r>
      </text>
    </comment>
    <comment ref="E178" authorId="2">
      <text>
        <r>
          <rPr>
            <b/>
            <sz val="8"/>
            <rFont val="Tahoma"/>
            <family val="2"/>
          </rPr>
          <t>Fino-10:</t>
        </r>
        <r>
          <rPr>
            <sz val="8"/>
            <rFont val="Tahoma"/>
            <family val="2"/>
          </rPr>
          <t xml:space="preserve">
46 Конергино
242 Амгуэма
69 Пионер
52,339 Анкальыт</t>
        </r>
      </text>
    </comment>
    <comment ref="I166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6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N166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7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N167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8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N168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9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N169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I167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I168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I169" authorId="1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A21" authorId="1">
      <text>
        <r>
          <rPr>
            <b/>
            <sz val="9"/>
            <rFont val="Tahoma"/>
            <family val="2"/>
          </rPr>
          <t>Хлеб и кисломолочка</t>
        </r>
      </text>
    </comment>
    <comment ref="A95" authorId="1">
      <text>
        <r>
          <rPr>
            <b/>
            <sz val="9"/>
            <rFont val="Tahoma"/>
            <family val="2"/>
          </rPr>
          <t>добавляем еще фин. деятельность</t>
        </r>
      </text>
    </comment>
    <comment ref="A82" authorId="1">
      <text>
        <r>
          <rPr>
            <sz val="9"/>
            <rFont val="Tahoma"/>
            <family val="2"/>
          </rPr>
          <t>Добавляем приезжих строителей ЧТК и т.д.</t>
        </r>
      </text>
    </comment>
    <comment ref="A34" authorId="1">
      <text>
        <r>
          <rPr>
            <b/>
            <sz val="9"/>
            <rFont val="Tahoma"/>
            <family val="2"/>
          </rPr>
          <t>МУСХП "Возрождение" "Амгуэма" "Пионер"</t>
        </r>
        <r>
          <rPr>
            <sz val="9"/>
            <rFont val="Tahoma"/>
            <family val="2"/>
          </rPr>
          <t xml:space="preserve">
</t>
        </r>
      </text>
    </comment>
    <comment ref="A73" authorId="1">
      <text>
        <r>
          <rPr>
            <sz val="9"/>
            <rFont val="Tahoma"/>
            <family val="2"/>
          </rPr>
          <t>Данные берем с таблицы Платные услуги</t>
        </r>
      </text>
    </comment>
    <comment ref="A68" authorId="1">
      <text>
        <r>
          <rPr>
            <b/>
            <sz val="9"/>
            <rFont val="Tahoma"/>
            <family val="2"/>
          </rPr>
          <t>Данные берем с таблицы строительство</t>
        </r>
      </text>
    </comment>
    <comment ref="N73" authorId="1">
      <text>
        <r>
          <rPr>
            <b/>
            <sz val="9"/>
            <rFont val="Tahoma"/>
            <family val="2"/>
          </rPr>
          <t xml:space="preserve">Индекс объем платных услуг населению  берем с окружного прогноза 
</t>
        </r>
      </text>
    </comment>
    <comment ref="O73" authorId="1">
      <text>
        <r>
          <rPr>
            <b/>
            <sz val="9"/>
            <rFont val="Tahoma"/>
            <family val="2"/>
          </rPr>
          <t xml:space="preserve">Индекс объем платных услуг населению  берем с окружного прогноза 
</t>
        </r>
      </text>
    </comment>
    <comment ref="P73" authorId="1">
      <text>
        <r>
          <rPr>
            <b/>
            <sz val="9"/>
            <rFont val="Tahoma"/>
            <family val="2"/>
          </rPr>
          <t xml:space="preserve">Индекс объем платных услуг населению  берем с окружного прогноза 
</t>
        </r>
      </text>
    </comment>
    <comment ref="A71" authorId="1">
      <text>
        <r>
          <rPr>
            <sz val="9"/>
            <rFont val="Tahoma"/>
            <family val="2"/>
          </rPr>
          <t>Данные берем с таблицы Торговля и общ питание</t>
        </r>
      </text>
    </comment>
    <comment ref="A36" authorId="1">
      <text>
        <r>
          <rPr>
            <b/>
            <sz val="9"/>
            <rFont val="Tahoma"/>
            <family val="2"/>
          </rPr>
          <t>Анкальыт</t>
        </r>
      </text>
    </comment>
    <comment ref="N122" authorId="1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O122" authorId="1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P122" authorId="1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N130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0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P130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1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2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3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4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5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6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P131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P132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P133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P134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P135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P136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7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P137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31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32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33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34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35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36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37" authorId="1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77" authorId="1">
      <text>
        <r>
          <rPr>
            <b/>
            <sz val="9"/>
            <rFont val="Tahoma"/>
            <family val="2"/>
          </rPr>
          <t xml:space="preserve">Взял с данных предприятий
Индекс пром производства берем с окружного прогноза 
</t>
        </r>
      </text>
    </comment>
    <comment ref="P177" authorId="1">
      <text>
        <r>
          <rPr>
            <b/>
            <sz val="9"/>
            <rFont val="Tahoma"/>
            <family val="2"/>
          </rPr>
          <t xml:space="preserve">Взял с данных предприятий
Индекс пром производства берем с окружного прогноза 
</t>
        </r>
      </text>
    </comment>
  </commentList>
</comments>
</file>

<file path=xl/comments5.xml><?xml version="1.0" encoding="utf-8"?>
<comments xmlns="http://schemas.openxmlformats.org/spreadsheetml/2006/main">
  <authors>
    <author>Денис В. Гайдуков</author>
  </authors>
  <commentList>
    <comment ref="I6" authorId="0">
      <text>
        <r>
          <rPr>
            <b/>
            <sz val="9"/>
            <rFont val="Tahoma"/>
            <family val="2"/>
          </rPr>
          <t>Данные с Доклада  ОМСУ за 2016 год (плановые данные по среднегодовой численности за 2017 год)
по 607 указу Президента 
Данных на 01.01.2018 года со статистики нет!!!</t>
        </r>
      </text>
    </comment>
  </commentList>
</comments>
</file>

<file path=xl/sharedStrings.xml><?xml version="1.0" encoding="utf-8"?>
<sst xmlns="http://schemas.openxmlformats.org/spreadsheetml/2006/main" count="1296" uniqueCount="537">
  <si>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</si>
  <si>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</si>
  <si>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</si>
  <si>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</si>
  <si>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</si>
  <si>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</si>
  <si>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</si>
  <si>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</si>
  <si>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</si>
  <si>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</si>
  <si>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I.Демографические показатели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</si>
  <si>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</si>
  <si>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</si>
  <si>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</si>
  <si>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</si>
  <si>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</si>
  <si>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</si>
  <si>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Объем  промышленной продукции (работ и услуг) в оптовых ценах предприятий (без налога на добавленную стоимость и акциза) - в целом</t>
  </si>
  <si>
    <t>в ценах соответствующих лет</t>
  </si>
  <si>
    <t>млн.руб</t>
  </si>
  <si>
    <t xml:space="preserve"> в % к предыдущему году</t>
  </si>
  <si>
    <t xml:space="preserve">В том числе по отраслям: </t>
  </si>
  <si>
    <t>электроэнергетика</t>
  </si>
  <si>
    <t>млн.руб.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</si>
  <si>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</si>
  <si>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</si>
  <si>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</si>
  <si>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</si>
  <si>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 xml:space="preserve">    промышленность и приравненные к ней отрасли</t>
  </si>
  <si>
    <t xml:space="preserve">   сельскохозяйственные производственные потребители</t>
  </si>
  <si>
    <t xml:space="preserve">   население</t>
  </si>
  <si>
    <t xml:space="preserve"> Продукция сельского хозяйства во всех категориях хозяйств - всего</t>
  </si>
  <si>
    <t>в том числе:</t>
  </si>
  <si>
    <t xml:space="preserve">     продукция животноводства</t>
  </si>
  <si>
    <t xml:space="preserve"> в % к предыдущему году </t>
  </si>
  <si>
    <t xml:space="preserve">      продукция морских промыслов</t>
  </si>
  <si>
    <t xml:space="preserve">  в % к предыдущему году</t>
  </si>
  <si>
    <t xml:space="preserve">      продукция рыбодобычи</t>
  </si>
  <si>
    <t xml:space="preserve">Количество предприятий, занятых производством сельскохозяйственной продукции, состоящих на самостоятельном балансе - всего </t>
  </si>
  <si>
    <t>единиц</t>
  </si>
  <si>
    <t xml:space="preserve">        оленеводческие хозяйства</t>
  </si>
  <si>
    <t>морзверобойные хозяйства</t>
  </si>
  <si>
    <t>рыболовецкие артели</t>
  </si>
  <si>
    <t>-</t>
  </si>
  <si>
    <t>IV. Транспорт и связь</t>
  </si>
  <si>
    <t>Протяженность мунципальных автомобильных дорог с твердым покрытием</t>
  </si>
  <si>
    <t xml:space="preserve">  км.</t>
  </si>
  <si>
    <t>строительство</t>
  </si>
  <si>
    <t>торговля и общественное питание</t>
  </si>
  <si>
    <t>платные услуги</t>
  </si>
  <si>
    <t>другие отрасли</t>
  </si>
  <si>
    <t>Среднесписочная численность работников малых предприятий-всего</t>
  </si>
  <si>
    <t>человек</t>
  </si>
  <si>
    <t>Объем произведенной малыми предприятиями продукции (работ, услуг) - всего</t>
  </si>
  <si>
    <t>строительство в ценах соответствующих лет</t>
  </si>
  <si>
    <t>другие отрасли в ценах соответствующих лет</t>
  </si>
  <si>
    <t>Объем товарооборота малых предприятий торговли</t>
  </si>
  <si>
    <t>Объем платных услуг, оказанных малыми предприятиями</t>
  </si>
  <si>
    <t>VI. Инвестиции</t>
  </si>
  <si>
    <t>Объем подрядных работ</t>
  </si>
  <si>
    <t>в ценах   соответствующих лет</t>
  </si>
  <si>
    <t>Ввод в действие новых основных фондов за счет всех источников финансирования в ценах соответствующего периода</t>
  </si>
  <si>
    <t>VII. Труд</t>
  </si>
  <si>
    <t>Численность трудовых ресурсов (среднегодовая)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</si>
  <si>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</si>
  <si>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</si>
  <si>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</si>
  <si>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</si>
  <si>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</si>
  <si>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</si>
  <si>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</si>
  <si>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Лица в трудоспособном возрасте, не занятые трудовой деятельностью и учебой</t>
  </si>
  <si>
    <t xml:space="preserve">      в том числе имеющие статус безработного</t>
  </si>
  <si>
    <t xml:space="preserve">Фонд заработной платы </t>
  </si>
  <si>
    <t xml:space="preserve"> в том числе:</t>
  </si>
  <si>
    <t xml:space="preserve">    в материальном производстве</t>
  </si>
  <si>
    <t xml:space="preserve">    в непроизводственной сфере</t>
  </si>
  <si>
    <t>Доходы - всего</t>
  </si>
  <si>
    <t xml:space="preserve">  в том числе:</t>
  </si>
  <si>
    <t xml:space="preserve">     фонд заработной платы</t>
  </si>
  <si>
    <t xml:space="preserve">     социальные выплаты - всего</t>
  </si>
  <si>
    <t xml:space="preserve">        пенсии и пособия</t>
  </si>
  <si>
    <t xml:space="preserve">     прочие доходы</t>
  </si>
  <si>
    <t>Расходы и сбережения - всего</t>
  </si>
  <si>
    <t>покупка товаров и оплата услуг</t>
  </si>
  <si>
    <t>руб.</t>
  </si>
  <si>
    <t>Численность населения с денежными доходами ниже прожиточного минимума в % ко всему населению</t>
  </si>
  <si>
    <t>%</t>
  </si>
  <si>
    <t>18</t>
  </si>
  <si>
    <t>17</t>
  </si>
  <si>
    <t>IX. Потребительский рынок</t>
  </si>
  <si>
    <t>Оборот розничной торговли  (во всех каналах реализации)</t>
  </si>
  <si>
    <t>Оборот общественного питания</t>
  </si>
  <si>
    <t>млн.руб. в ценах соответствующих лет</t>
  </si>
  <si>
    <t xml:space="preserve">в % к предыдущему году </t>
  </si>
  <si>
    <t>Объем платных услуг населению (с учетом экспертной оценки объемов  услуг по недоучтенным предприятиям и оказываемых физическими лицами)</t>
  </si>
  <si>
    <t xml:space="preserve">   в том числе:</t>
  </si>
  <si>
    <t xml:space="preserve">          бытовые услуги</t>
  </si>
  <si>
    <t xml:space="preserve">млн.руб. </t>
  </si>
  <si>
    <t xml:space="preserve">          услуги связи</t>
  </si>
  <si>
    <t xml:space="preserve">           жилищные услуги</t>
  </si>
  <si>
    <t xml:space="preserve">           коммунальные услуги</t>
  </si>
  <si>
    <t xml:space="preserve">            услуги культуры</t>
  </si>
  <si>
    <t xml:space="preserve">            медицинские услуги</t>
  </si>
  <si>
    <t xml:space="preserve">          услуги образования</t>
  </si>
  <si>
    <t>Прочие виды платных услуг</t>
  </si>
  <si>
    <t>Производство пищевых продуктов:</t>
  </si>
  <si>
    <t>в % к предыд.году</t>
  </si>
  <si>
    <t xml:space="preserve">      в том числе:</t>
  </si>
  <si>
    <t xml:space="preserve">         мясо</t>
  </si>
  <si>
    <t xml:space="preserve">         хлеб и мучные кондитерские изделия</t>
  </si>
  <si>
    <t xml:space="preserve">         переработка рыбо - море продуктов</t>
  </si>
  <si>
    <t xml:space="preserve">         кисло-молочные продукты</t>
  </si>
  <si>
    <t>X. Развитие отраслей социальной сферы</t>
  </si>
  <si>
    <t>Ввод в эксплуатацию жилых домов за счет всех источников финансирования</t>
  </si>
  <si>
    <t>кв.м.</t>
  </si>
  <si>
    <t>0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</si>
  <si>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</si>
  <si>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</si>
  <si>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</si>
  <si>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</si>
  <si>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</si>
  <si>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</si>
  <si>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</si>
  <si>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</si>
  <si>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</si>
  <si>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Численность детей в учреждениях дошкольного и общего образования</t>
  </si>
  <si>
    <t>1341</t>
  </si>
  <si>
    <t>1270</t>
  </si>
  <si>
    <t>920</t>
  </si>
  <si>
    <t>915</t>
  </si>
  <si>
    <t>910</t>
  </si>
  <si>
    <t>Численность учащихся начального профессионального образования</t>
  </si>
  <si>
    <t>92</t>
  </si>
  <si>
    <t>84</t>
  </si>
  <si>
    <t>Обеспеченность:</t>
  </si>
  <si>
    <t xml:space="preserve">    больничными койками</t>
  </si>
  <si>
    <t xml:space="preserve"> коек на 1 тыс.жителей</t>
  </si>
  <si>
    <t xml:space="preserve">    амбулаторно-поликлиническими учреждениями</t>
  </si>
  <si>
    <t>посещений в смену на 1 тыс.жителей</t>
  </si>
  <si>
    <t xml:space="preserve">    фельдшерско-акушерскими пунктами</t>
  </si>
  <si>
    <t xml:space="preserve">     врачами</t>
  </si>
  <si>
    <t>чел. на 1 тыс.жителей</t>
  </si>
  <si>
    <t xml:space="preserve">     средним медицинским персоналом</t>
  </si>
  <si>
    <t xml:space="preserve">    массовыми библиотеками</t>
  </si>
  <si>
    <t>учрежд.на 1 тыс.населения</t>
  </si>
  <si>
    <t xml:space="preserve">    клубными учреждениями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</si>
  <si>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</si>
  <si>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</si>
  <si>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</si>
  <si>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XI. Охрана окружающей среды</t>
  </si>
  <si>
    <t>Инвестиции, предусматриваемые на природоохранные мероприятия за счет всех источников финансирования</t>
  </si>
  <si>
    <t>млн.</t>
  </si>
  <si>
    <t>Объем сброса загрязненных сточных вод</t>
  </si>
  <si>
    <t>тн</t>
  </si>
  <si>
    <t>Объем вредных веществ, выбрасываемых в атмосферный воздух стационарными источниками загрязнения</t>
  </si>
  <si>
    <t>4500</t>
  </si>
  <si>
    <t>4350</t>
  </si>
  <si>
    <t>Объем водопотребления</t>
  </si>
  <si>
    <t>тыс.куб.м</t>
  </si>
  <si>
    <t>1295</t>
  </si>
  <si>
    <t>1290</t>
  </si>
  <si>
    <t>1285</t>
  </si>
  <si>
    <t>Электроэнергия</t>
  </si>
  <si>
    <t>млн.кВт.ч</t>
  </si>
  <si>
    <t xml:space="preserve">      в том числе вырабатываемая: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</si>
  <si>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</si>
  <si>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</si>
  <si>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</si>
  <si>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</si>
  <si>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</si>
  <si>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</si>
  <si>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</si>
  <si>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</si>
  <si>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</si>
  <si>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</si>
  <si>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</si>
  <si>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Пиво</t>
  </si>
  <si>
    <t>т.дкл</t>
  </si>
  <si>
    <t>Безалкогольные напитки</t>
  </si>
  <si>
    <r>
      <t xml:space="preserve">YIII. Денежные доходы и расходы населения  </t>
    </r>
    <r>
      <rPr>
        <sz val="12"/>
        <color indexed="9"/>
        <rFont val="Times New Roman"/>
        <family val="1"/>
      </rPr>
      <t>(в ценах соответствующих лет)</t>
    </r>
  </si>
  <si>
    <t>2013 г.</t>
  </si>
  <si>
    <t>Пищевая промышленность</t>
  </si>
  <si>
    <t>141</t>
  </si>
  <si>
    <t>2014 г.</t>
  </si>
  <si>
    <t>из них покупка товаров</t>
  </si>
  <si>
    <t>23,5</t>
  </si>
  <si>
    <t>24</t>
  </si>
  <si>
    <t>94</t>
  </si>
  <si>
    <t>Акиба</t>
  </si>
  <si>
    <t>Ларга</t>
  </si>
  <si>
    <t>Морж</t>
  </si>
  <si>
    <t>Кит</t>
  </si>
  <si>
    <t>другие расходы и сбережения</t>
  </si>
  <si>
    <t>2015 г.</t>
  </si>
  <si>
    <t>ООО А/с "Шахтер"</t>
  </si>
  <si>
    <t>ООО А/с "Арктика"</t>
  </si>
  <si>
    <t>ООО А/с "Полярная"</t>
  </si>
  <si>
    <t>ЗАО "ЧТК"</t>
  </si>
  <si>
    <t>Артели</t>
  </si>
  <si>
    <t>ИТОГО:</t>
  </si>
  <si>
    <t>Лахтак</t>
  </si>
  <si>
    <t>Мясо (тон)</t>
  </si>
  <si>
    <t>САЛО (тон)</t>
  </si>
  <si>
    <t>155</t>
  </si>
  <si>
    <t>Численность учащихся среднего профессионального образования</t>
  </si>
  <si>
    <t>Анкальыт</t>
  </si>
  <si>
    <t>Эгвекинот</t>
  </si>
  <si>
    <t>Амгуэма</t>
  </si>
  <si>
    <t>Ванкарем</t>
  </si>
  <si>
    <t>Конергино</t>
  </si>
  <si>
    <t>Нутэпэльмен</t>
  </si>
  <si>
    <t>Уэлькаль</t>
  </si>
  <si>
    <t>Рыба</t>
  </si>
  <si>
    <t>Рыркайпий</t>
  </si>
  <si>
    <t>Мясо</t>
  </si>
  <si>
    <t>№ п/п</t>
  </si>
  <si>
    <t>Наименование предприятия</t>
  </si>
  <si>
    <t>2014 год</t>
  </si>
  <si>
    <t>ИП Яковенко В.М.</t>
  </si>
  <si>
    <t>ООО "Хлебный Дар"</t>
  </si>
  <si>
    <t>ООО "Иультинский пекарь"</t>
  </si>
  <si>
    <t>Итого:</t>
  </si>
  <si>
    <t>Объем товарооборота строительство млн. руб.</t>
  </si>
  <si>
    <t>ИП Ерчев А.Г.</t>
  </si>
  <si>
    <t>ООО "Старт"</t>
  </si>
  <si>
    <t>ОО "Монолит"</t>
  </si>
  <si>
    <t>ООО "Чукотгеолстрой"</t>
  </si>
  <si>
    <t>Нутепельмен</t>
  </si>
  <si>
    <t>Итого</t>
  </si>
  <si>
    <t>Факт гол/цн</t>
  </si>
  <si>
    <t>Ожидаемое гол/цн</t>
  </si>
  <si>
    <t>Акиба гол</t>
  </si>
  <si>
    <t>Круг. Цн.</t>
  </si>
  <si>
    <t>Сало</t>
  </si>
  <si>
    <t>Ларга гол</t>
  </si>
  <si>
    <t>лахтак гол</t>
  </si>
  <si>
    <t>Морж гол</t>
  </si>
  <si>
    <t>Кит гол</t>
  </si>
  <si>
    <t>рыба</t>
  </si>
  <si>
    <t>голов</t>
  </si>
  <si>
    <t>кругляк Цн.</t>
  </si>
  <si>
    <t>Мясо Цн.</t>
  </si>
  <si>
    <t>Сало Цн.</t>
  </si>
  <si>
    <t>Сало кг.</t>
  </si>
  <si>
    <t>среднесписочная численность</t>
  </si>
  <si>
    <t xml:space="preserve"> </t>
  </si>
  <si>
    <t>362,5</t>
  </si>
  <si>
    <t>Пенсионный</t>
  </si>
  <si>
    <t>ЧОКЦСОН</t>
  </si>
  <si>
    <t>Соцстрах</t>
  </si>
  <si>
    <t>Отдел социальной поддержки</t>
  </si>
  <si>
    <t>Центр занятости</t>
  </si>
  <si>
    <t>кругляк тонн</t>
  </si>
  <si>
    <t>Мясо тонн</t>
  </si>
  <si>
    <t>АНКАЛЬЫТ производство мяса, рыбы, сала</t>
  </si>
  <si>
    <t>2016 г.</t>
  </si>
  <si>
    <t>МУСХП «Возрождение»</t>
  </si>
  <si>
    <t>МУСХП «Амгуэма»</t>
  </si>
  <si>
    <t>МП СХП «Пионер»</t>
  </si>
  <si>
    <t>Всего по району:</t>
  </si>
  <si>
    <t>ХЛЕБ и кисломолочная продукция</t>
  </si>
  <si>
    <t>№</t>
  </si>
  <si>
    <t>Производители</t>
  </si>
  <si>
    <t>ФАКТ на 01.11. 2013</t>
  </si>
  <si>
    <t>ФАКТ 2013</t>
  </si>
  <si>
    <t>ФАКТ на 01.11. 2014</t>
  </si>
  <si>
    <t>Себест. млн.руб.</t>
  </si>
  <si>
    <t>Выручка млн.руб.</t>
  </si>
  <si>
    <t>чел</t>
  </si>
  <si>
    <t>ВСЕГО:</t>
  </si>
  <si>
    <t>2015 год</t>
  </si>
  <si>
    <t>Пионер</t>
  </si>
  <si>
    <t>Возрождение</t>
  </si>
  <si>
    <t>183</t>
  </si>
  <si>
    <t>Величина прожиточного минимума в среднем на душу населения в месяц</t>
  </si>
  <si>
    <t>ЭГРЭС</t>
  </si>
  <si>
    <t>ГП ЧАО "Чукоткоммунхоз"</t>
  </si>
  <si>
    <t>МУП ЖКХ "Иультинское"</t>
  </si>
  <si>
    <t>ТЕПЛО</t>
  </si>
  <si>
    <t>ЭЛЕКТРО</t>
  </si>
  <si>
    <t>млн.кВт.ч.</t>
  </si>
  <si>
    <t>ДЭС</t>
  </si>
  <si>
    <t>Ожидаемые</t>
  </si>
  <si>
    <t>промышленность и приравненные к ней отрасли</t>
  </si>
  <si>
    <t>сельскохозяйственные производственные потребители</t>
  </si>
  <si>
    <t>Производство электроэнергии всего:</t>
  </si>
  <si>
    <t>ед. изм.</t>
  </si>
  <si>
    <t>Полезный отпуск электроэнергии всего:</t>
  </si>
  <si>
    <t xml:space="preserve">Электроэнергетика </t>
  </si>
  <si>
    <t>Отпуск тепло энергии - всего:</t>
  </si>
  <si>
    <t>население</t>
  </si>
  <si>
    <t>В отчеты</t>
  </si>
  <si>
    <t>ИП Николаенко А.И.</t>
  </si>
  <si>
    <t>ИП Куценко Е.И.</t>
  </si>
  <si>
    <t>ИП Петрова Г.М.</t>
  </si>
  <si>
    <t>ИП Кутынская О.К.</t>
  </si>
  <si>
    <t>ИП Сергеева Т.А.</t>
  </si>
  <si>
    <t>ИП Акиньшина Н.В.</t>
  </si>
  <si>
    <t>ИП Акиньшина Т.В.</t>
  </si>
  <si>
    <t>ИП Долиненко Т.И.</t>
  </si>
  <si>
    <t>ИП Черкезова С.М.</t>
  </si>
  <si>
    <t>ИП Богза П.В.</t>
  </si>
  <si>
    <t>ИП Ниточкина А.О.</t>
  </si>
  <si>
    <t>ИП Животенко А.И.</t>
  </si>
  <si>
    <t>И.П. Борзенко</t>
  </si>
  <si>
    <t>ИП Ерчева С.М.</t>
  </si>
  <si>
    <t>ООО "Залив Креста"</t>
  </si>
  <si>
    <t>ООО "Полюшка"</t>
  </si>
  <si>
    <t>ООО "Альбатрос"</t>
  </si>
  <si>
    <t>ООО "Норд"</t>
  </si>
  <si>
    <t>ООО "Светлана"</t>
  </si>
  <si>
    <t>ООО "Вебер"</t>
  </si>
  <si>
    <t>ООО "Антарес"</t>
  </si>
  <si>
    <t>ЗАО "Иультинторг"</t>
  </si>
  <si>
    <t>ООО "Чукотсмешторг"</t>
  </si>
  <si>
    <t>Такси 511</t>
  </si>
  <si>
    <t>Такси 550</t>
  </si>
  <si>
    <t xml:space="preserve">Парикмахерская </t>
  </si>
  <si>
    <t>2016 год</t>
  </si>
  <si>
    <t>Объем товарооборота млн. руб.</t>
  </si>
  <si>
    <t>Среднесписочная численность</t>
  </si>
  <si>
    <t>Объем платных услуг населению млн. руб.</t>
  </si>
  <si>
    <t>ПЛАТНЫЕ УСЛУГИ НАСЕЛЕНИЮ</t>
  </si>
  <si>
    <t>По данным Департамента промышленности</t>
  </si>
  <si>
    <t>МУП "ШТП Иультинского МР"</t>
  </si>
  <si>
    <t>ИП Мирошнеченко И.А.</t>
  </si>
  <si>
    <t>ФАКТ</t>
  </si>
  <si>
    <t>Оценка</t>
  </si>
  <si>
    <t>ИП Савченко Н.И.</t>
  </si>
  <si>
    <t>ИП "Кутынская О.К.</t>
  </si>
  <si>
    <t>ТОРГОВЛЯ и ОБЩЕСТВ. ПИТАНИЕ</t>
  </si>
  <si>
    <t>Сапожная мастерская</t>
  </si>
  <si>
    <t>Швейная мастерская</t>
  </si>
  <si>
    <t>ООО "Иультинкий пекарь"</t>
  </si>
  <si>
    <t>ООО "Тепло-Рыркайпий"</t>
  </si>
  <si>
    <t>Такси 555</t>
  </si>
  <si>
    <t>ФАКТ на 01.11.2015</t>
  </si>
  <si>
    <t>ФАКТ 2014</t>
  </si>
  <si>
    <t>Чукотский Полярный техникум</t>
  </si>
  <si>
    <t>ИП Рахманин Д.</t>
  </si>
  <si>
    <t>ИП Любенок Г.</t>
  </si>
  <si>
    <t>1 полугодие</t>
  </si>
  <si>
    <t>доп. Объемы</t>
  </si>
  <si>
    <t>2 полугодие</t>
  </si>
  <si>
    <t>Заплатили</t>
  </si>
  <si>
    <t>Ожидаемое ИТОГО:</t>
  </si>
  <si>
    <t>Заплатили на 01.11.2015</t>
  </si>
  <si>
    <t>Субсидия по СЗПТ в 2015 году</t>
  </si>
  <si>
    <t>2014 год (тыс.руб.)</t>
  </si>
  <si>
    <t>Субсидия (окружной)</t>
  </si>
  <si>
    <t>Березникова</t>
  </si>
  <si>
    <r>
      <t>XI</t>
    </r>
    <r>
      <rPr>
        <b/>
        <sz val="8"/>
        <rFont val="Arial"/>
        <family val="2"/>
      </rPr>
      <t>.</t>
    </r>
    <r>
      <rPr>
        <b/>
        <sz val="12"/>
        <rFont val="Times New Roman"/>
        <family val="1"/>
      </rPr>
      <t xml:space="preserve"> Производство важнейших видов продукции в натуральном выражении</t>
    </r>
  </si>
  <si>
    <t>ЧОКЦСОН и Соцподдержка</t>
  </si>
  <si>
    <t>186</t>
  </si>
  <si>
    <t>300</t>
  </si>
  <si>
    <t>825,8</t>
  </si>
  <si>
    <t>ООО "А/С "Майна"</t>
  </si>
  <si>
    <t>2018 г.</t>
  </si>
  <si>
    <t>узнать у Андрееча</t>
  </si>
  <si>
    <t>2015 год (тыс.руб)</t>
  </si>
  <si>
    <t>Факт 2015</t>
  </si>
  <si>
    <t>2017 год</t>
  </si>
  <si>
    <t>ФАКТ на 01.11.2016</t>
  </si>
  <si>
    <t>ФАКТ 2015</t>
  </si>
  <si>
    <t>ПЛАН 2019</t>
  </si>
  <si>
    <t>2016 год (тыс.руб)</t>
  </si>
  <si>
    <t>млн. рублей</t>
  </si>
  <si>
    <t>Производство мяса в убойном весе</t>
  </si>
  <si>
    <r>
      <t xml:space="preserve">Продукция  с/х  в ценах соответствующих лет </t>
    </r>
    <r>
      <rPr>
        <sz val="14"/>
        <color indexed="8"/>
        <rFont val="Times New Roman"/>
        <family val="1"/>
      </rPr>
      <t>(тыс.руб.)</t>
    </r>
  </si>
  <si>
    <t>Продукция животноводства</t>
  </si>
  <si>
    <t>Факт 2014</t>
  </si>
  <si>
    <t>Среднесписочная численность работников (человек)</t>
  </si>
  <si>
    <t>Финансирование (тыс. рублей)</t>
  </si>
  <si>
    <t>Субсидии всего:</t>
  </si>
  <si>
    <t>Федеральный бюджет</t>
  </si>
  <si>
    <t>Окружной бюджет</t>
  </si>
  <si>
    <t>Выручка от реализации</t>
  </si>
  <si>
    <t>Прогноз 2019</t>
  </si>
  <si>
    <t>222</t>
  </si>
  <si>
    <t>2019 г.</t>
  </si>
  <si>
    <t>ФАКТ 2016</t>
  </si>
  <si>
    <t>ФАКТ на 01.11.2017</t>
  </si>
  <si>
    <t>246</t>
  </si>
  <si>
    <t>Факт 2016</t>
  </si>
  <si>
    <t>Прогноз 2020</t>
  </si>
  <si>
    <t>Прогноз 2021</t>
  </si>
  <si>
    <t xml:space="preserve">Численность поголовья на 01.01.2017 </t>
  </si>
  <si>
    <t>Численность поголовья на 01.01.2019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</si>
  <si>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</si>
  <si>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      15,30</t>
  </si>
  <si>
    <t>176,70</t>
  </si>
  <si>
    <t xml:space="preserve">     513,50</t>
  </si>
  <si>
    <t xml:space="preserve">       6,95</t>
  </si>
  <si>
    <t xml:space="preserve">      12,16</t>
  </si>
  <si>
    <t xml:space="preserve">     143,23</t>
  </si>
  <si>
    <t xml:space="preserve">        6,30</t>
  </si>
  <si>
    <t xml:space="preserve">        7,75</t>
  </si>
  <si>
    <t xml:space="preserve">     175,42</t>
  </si>
  <si>
    <t xml:space="preserve">         1,50</t>
  </si>
  <si>
    <t xml:space="preserve">        1,50</t>
  </si>
  <si>
    <t xml:space="preserve">        2,50</t>
  </si>
  <si>
    <t xml:space="preserve">        4,75</t>
  </si>
  <si>
    <t xml:space="preserve">      20,90</t>
  </si>
  <si>
    <t xml:space="preserve">      34,85</t>
  </si>
  <si>
    <t xml:space="preserve">       42,60</t>
  </si>
  <si>
    <t xml:space="preserve">      28,65</t>
  </si>
  <si>
    <t xml:space="preserve">     327,47</t>
  </si>
  <si>
    <t xml:space="preserve">     300,34</t>
  </si>
  <si>
    <t>Основные показатели прогноза социально-экономического  развития  городского округа Эгвекинот на 2019 - 2021 годы</t>
  </si>
  <si>
    <t>2020 г.</t>
  </si>
  <si>
    <t xml:space="preserve">2021 г. </t>
  </si>
  <si>
    <r>
      <rPr>
        <b/>
        <sz val="12"/>
        <rFont val="Times New Roman"/>
        <family val="1"/>
      </rPr>
      <t>Добыча метала</t>
    </r>
    <r>
      <rPr>
        <sz val="12"/>
        <rFont val="Times New Roman"/>
        <family val="1"/>
      </rPr>
      <t xml:space="preserve">
 золотодобывающими предприятиями Иультинского муниципального района по состоянию на 01.11.2018г.</t>
    </r>
  </si>
  <si>
    <t>Ожидаемый за 2018 год</t>
  </si>
  <si>
    <t>План на 2019 год</t>
  </si>
  <si>
    <t xml:space="preserve">Численность поголовья на 01.01.2018 </t>
  </si>
  <si>
    <t>Численность поголовья на 01.01.2020</t>
  </si>
  <si>
    <t>Факт 2017</t>
  </si>
  <si>
    <t>Оценка 2018</t>
  </si>
  <si>
    <t>ФАКТ за 2017 год</t>
  </si>
  <si>
    <t>ПЛАН по поголовью оленей на 2019 год</t>
  </si>
  <si>
    <t>ПЛАН 2020</t>
  </si>
  <si>
    <r>
      <rPr>
        <sz val="14"/>
        <color indexed="8"/>
        <rFont val="Times New Roman"/>
        <family val="1"/>
      </rPr>
      <t xml:space="preserve">Численность представлена согласно данным </t>
    </r>
    <r>
      <rPr>
        <sz val="12"/>
        <color indexed="8"/>
        <rFont val="Times New Roman"/>
        <family val="1"/>
      </rPr>
      <t xml:space="preserve">
ТЕРРИТОРИАЛЬНОГО ОРГАНА ФЕДЕРАЛЬНОЙ СЛУЖБЫ  ГОСУДАРСТВЕННОЙ СТАТИСТИКИ   ПО ЧУКОТСКОМУ АВТОНОМНОМУ ОКРУГУ и
ФЕДЕРАЛЬНОЙ СЛУЖБЫ СТАТИСТИКИ ПО ХАБАРОВСКОМУ КРАЮ, МАГАДАНСКОЙ ОБЛАСТИ, ЕВРЕЙСКОЙ АВТОНОМНОЙ ОБЛАСТИ И ЧУКОТСКОМУ АВТОНОМНОМУ ОКРУГУ</t>
    </r>
  </si>
  <si>
    <t>Наименование населенного пункта</t>
  </si>
  <si>
    <t>Численность постоянного населения</t>
  </si>
  <si>
    <t>на 01.01.16 г.</t>
  </si>
  <si>
    <t>среднегодовая за 9 месяцев 2016 год</t>
  </si>
  <si>
    <t>на 01.10.16 г.</t>
  </si>
  <si>
    <t>среднегодовая за 2016 год</t>
  </si>
  <si>
    <t>на 01.01.17 г.</t>
  </si>
  <si>
    <t>среднегодовая за 2017 год</t>
  </si>
  <si>
    <t>на 01.01.18 г.</t>
  </si>
  <si>
    <t>среднегодовая за 2018 год</t>
  </si>
  <si>
    <t>на 01.01.19 г.</t>
  </si>
  <si>
    <t>среднегодовая за 2019 год</t>
  </si>
  <si>
    <t>на 01.01.20 г.</t>
  </si>
  <si>
    <t>Городской округ Эгвекинот</t>
  </si>
  <si>
    <t>Городское население</t>
  </si>
  <si>
    <t>пгт. Эгвекинот</t>
  </si>
  <si>
    <t>пгт. Мыс Шмидта</t>
  </si>
  <si>
    <t>Сельское население</t>
  </si>
  <si>
    <t>Село Амгуэма</t>
  </si>
  <si>
    <t>Село Ванкарем</t>
  </si>
  <si>
    <t>Село Конергино</t>
  </si>
  <si>
    <t>Село Нутэпэльмен</t>
  </si>
  <si>
    <t>Село Рыркайпий</t>
  </si>
  <si>
    <t>Село Уэлькаль</t>
  </si>
  <si>
    <t>Исп. Гайдуков Денис Владиславович.</t>
  </si>
  <si>
    <r>
      <t>'</t>
    </r>
    <r>
      <rPr>
        <sz val="10"/>
        <color indexed="8"/>
        <rFont val="Times New Roman"/>
        <family val="1"/>
      </rPr>
      <t xml:space="preserve"> 8(42734) 2-21-89</t>
    </r>
  </si>
  <si>
    <t>D.Gaidukov@go-egvekinot.ru</t>
  </si>
  <si>
    <r>
      <rPr>
        <sz val="14"/>
        <color indexed="8"/>
        <rFont val="Times New Roman"/>
        <family val="1"/>
      </rPr>
      <t xml:space="preserve">Численность представлена согласно данным </t>
    </r>
    <r>
      <rPr>
        <sz val="12"/>
        <color indexed="8"/>
        <rFont val="Times New Roman"/>
        <family val="1"/>
      </rPr>
      <t xml:space="preserve">
ТЕРРИТОРИАЛЬНОГО ОРГАНА ФЕДЕРАЛЬНОЙ СЛУЖБЫ  ГОСУДАРСТВЕННОЙ СТАТИСТИКИ   ПО ЧУКОТСКОМУ АВТОНОМНОМУ ОКРУГУ
(статистические сборники часть вторая)</t>
    </r>
  </si>
  <si>
    <t>на 01.01.12 г.</t>
  </si>
  <si>
    <t>среднегодовая за 2012 год</t>
  </si>
  <si>
    <t>на 01.01.13 г.</t>
  </si>
  <si>
    <t>среднегодовая за 2013 год</t>
  </si>
  <si>
    <t>на 01.01.14 г.</t>
  </si>
  <si>
    <t>среднегодовая за 2014 год</t>
  </si>
  <si>
    <t>на 01.01.15 г.</t>
  </si>
  <si>
    <t>среднегодовая за 2015 год</t>
  </si>
  <si>
    <t>Иультинский муниципальный район</t>
  </si>
  <si>
    <t>Городские поселения Иультинского муниципального района</t>
  </si>
  <si>
    <t>Сельские поселения Иультинского муниципального района</t>
  </si>
  <si>
    <t>Сельское поселение Амгуэма</t>
  </si>
  <si>
    <t>Сельское поселение Ванкарем</t>
  </si>
  <si>
    <t>Сельское поселение Конергино</t>
  </si>
  <si>
    <t>Сельское поселение Уэлькаль</t>
  </si>
  <si>
    <t>Сельское поселение Рыркайпий</t>
  </si>
  <si>
    <t>Межселенные территории Иультинского муниципального района</t>
  </si>
  <si>
    <t>ЕКВ</t>
  </si>
  <si>
    <t>ЕДВ</t>
  </si>
  <si>
    <t>РСД</t>
  </si>
  <si>
    <t>Попечительство</t>
  </si>
  <si>
    <t>Приемным родителям</t>
  </si>
  <si>
    <t>Пенсионный, Центр занятости и Соцстрах</t>
  </si>
  <si>
    <t>269</t>
  </si>
  <si>
    <t>298</t>
  </si>
  <si>
    <t>ФАКТ 2017</t>
  </si>
  <si>
    <t>ФАКТ на 01.11.2018</t>
  </si>
  <si>
    <t>ОЖИД 2018</t>
  </si>
  <si>
    <t>ПЛАН 2021</t>
  </si>
  <si>
    <t>,</t>
  </si>
  <si>
    <t>Объем инвестиций в основной капитал - всего</t>
  </si>
  <si>
    <t>инвестиции в основной капитал за счет средств муниципального бюджтета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</si>
  <si>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</si>
  <si>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</si>
  <si>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</si>
  <si>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Деятельность профессиональная, научная и техническая</t>
  </si>
  <si>
    <t>Госсударственное управление и обеспечение военной безопасности; социальное обеспечение</t>
  </si>
  <si>
    <t>Деятельность в области злравоохранения и социальных услуг</t>
  </si>
  <si>
    <t>Деятельность в области культуры, спорта, организации досуга и развлечений</t>
  </si>
  <si>
    <t>Среднесписочная численность работников организаций</t>
  </si>
  <si>
    <t>829,12</t>
  </si>
  <si>
    <t>2018 год</t>
  </si>
  <si>
    <t>2019 год</t>
  </si>
  <si>
    <t>ООО "Соломон"</t>
  </si>
  <si>
    <t>Численность</t>
  </si>
  <si>
    <t>ИП Хайкин И.М.</t>
  </si>
  <si>
    <t>V. Малое и среднее предпринимательство</t>
  </si>
  <si>
    <t xml:space="preserve">Количество малых и средних предприятий по сосотоянию на конец года - всего:  </t>
  </si>
  <si>
    <t>Оптовая и розничная торговля</t>
  </si>
  <si>
    <t xml:space="preserve">Транспортировка и хранение </t>
  </si>
  <si>
    <t>Обеспечение электрической энергией, газом и паром; кондиционирование воздуха</t>
  </si>
  <si>
    <t>Обрабатывающие производства</t>
  </si>
  <si>
    <t>Сельское хозяйство и рыболовство</t>
  </si>
  <si>
    <t>Прочие</t>
  </si>
  <si>
    <t>в том числе по видам деятельности:</t>
  </si>
  <si>
    <r>
      <t>XI</t>
    </r>
    <r>
      <rPr>
        <b/>
        <sz val="8"/>
        <rFont val="Times New Roman"/>
        <family val="1"/>
      </rPr>
      <t>.</t>
    </r>
    <r>
      <rPr>
        <b/>
        <sz val="12"/>
        <rFont val="Times New Roman"/>
        <family val="1"/>
      </rPr>
      <t xml:space="preserve"> Производство важнейших видов продукции в натуральном выражении</t>
    </r>
  </si>
  <si>
    <t>I. Демографические показатели</t>
  </si>
  <si>
    <t>хлеб и мучные кондитерские изделия</t>
  </si>
  <si>
    <t>кисло-молочные продукты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</si>
  <si>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</si>
  <si>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</si>
  <si>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</si>
  <si>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</si>
  <si>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</si>
  <si>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t>в том числе вырабатываемая:</t>
  </si>
  <si>
    <t>амбулаторно-поликлиническими учреждениями</t>
  </si>
  <si>
    <t>больничными койками</t>
  </si>
  <si>
    <t xml:space="preserve">Количество предприятий, занятых производством сельскохозяйственной продукции - всего: </t>
  </si>
  <si>
    <t>продукция животноводства</t>
  </si>
  <si>
    <t>продукция морских промыслов</t>
  </si>
  <si>
    <t>оленеводческие хозяйства</t>
  </si>
  <si>
    <t>Продукция сельского хозяйства во всех категориях хозяйств - всего</t>
  </si>
  <si>
    <t>Электроэнергетика</t>
  </si>
  <si>
    <t>III. Транспорт и связь</t>
  </si>
  <si>
    <t>IV. Малое и среднее предпринимательство</t>
  </si>
  <si>
    <t>V. Инвестиции</t>
  </si>
  <si>
    <t>VI. Труд</t>
  </si>
  <si>
    <t>фонд заработной платы</t>
  </si>
  <si>
    <t>социальные выплаты - всего</t>
  </si>
  <si>
    <t>пенсии и пособия</t>
  </si>
  <si>
    <t>прочие доходы</t>
  </si>
  <si>
    <t>Объем  промышленной продукции (в фактический действующих ценах)</t>
  </si>
  <si>
    <t>Протяженность муниципальных автомобильных дорог с твердым покрытием</t>
  </si>
  <si>
    <t>инвестиции в основной капитал за счет средств муниципального бюджета</t>
  </si>
  <si>
    <r>
      <t xml:space="preserve">VII. Денежные доходы  </t>
    </r>
    <r>
      <rPr>
        <sz val="12"/>
        <rFont val="Times New Roman"/>
        <family val="1"/>
      </rPr>
      <t>(в ценах соответствующих лет)</t>
    </r>
  </si>
  <si>
    <t>VIII. Развитие отраслей социальной сферы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</si>
</sst>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;[Red]#,##0"/>
    <numFmt numFmtId="182" formatCode="#,##0.0;[Red]#,##0.0"/>
    <numFmt numFmtId="183" formatCode="000000"/>
    <numFmt numFmtId="184" formatCode="#,##0.00;[Red]#,##0.00"/>
    <numFmt numFmtId="185" formatCode="#,##0.000;[Red]#,##0.000"/>
    <numFmt numFmtId="186" formatCode="_-* #,##0.0_р_._-;\-* #,##0.0_р_._-;_-* &quot;-&quot;_р_._-;_-@_-"/>
    <numFmt numFmtId="187" formatCode="000"/>
    <numFmt numFmtId="188" formatCode="0.0%"/>
    <numFmt numFmtId="189" formatCode="0.000"/>
    <numFmt numFmtId="190" formatCode="0.000%"/>
    <numFmt numFmtId="191" formatCode="0.0000"/>
    <numFmt numFmtId="192" formatCode="0.00000"/>
    <numFmt numFmtId="193" formatCode="0.000000"/>
    <numFmt numFmtId="194" formatCode="_-* #,##0.0_р_._-;\-* #,##0.0_р_._-;_-* &quot;-&quot;?_р_._-;_-@_-"/>
    <numFmt numFmtId="195" formatCode="#,##0_ ;[Red]\-#,##0\ "/>
    <numFmt numFmtId="196" formatCode="#,##0.0_ ;[Red]\-#,##0.0\ "/>
    <numFmt numFmtId="197" formatCode="#,##0.0"/>
    <numFmt numFmtId="198" formatCode="#,##0.000"/>
    <numFmt numFmtId="199" formatCode="_-* #,##0.00_р_._-;\-* #,##0.00_р_._-;_-* &quot;-&quot;_р_._-;_-@_-"/>
    <numFmt numFmtId="200" formatCode="_-* #,##0.000_р_._-;\-* #,##0.000_р_._-;_-* &quot;-&quot;_р_._-;_-@_-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_-* #,##0.000\ _р_._-;\-* #,##0.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000000"/>
    <numFmt numFmtId="213" formatCode="0.00000000"/>
    <numFmt numFmtId="214" formatCode="0.00;[Red]0.00"/>
    <numFmt numFmtId="215" formatCode="0.0;[Red]0.0"/>
    <numFmt numFmtId="216" formatCode="0;[Red]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_р_._-;\-* #,##0.0_р_._-;_-* &quot;-&quot;??_р_._-;_-@_-"/>
    <numFmt numFmtId="222" formatCode="_-* #,##0_р_._-;\-* #,##0_р_._-;_-* &quot;-&quot;??_р_._-;_-@_-"/>
    <numFmt numFmtId="223" formatCode="#,##0.000000"/>
    <numFmt numFmtId="224" formatCode="#,##0.000000000"/>
    <numFmt numFmtId="225" formatCode="#,##0.0000"/>
    <numFmt numFmtId="226" formatCode="0.0000;[Red]0.0000"/>
  </numFmts>
  <fonts count="125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i/>
      <sz val="8"/>
      <name val="Arial Cyr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Arial"/>
      <family val="2"/>
    </font>
    <font>
      <b/>
      <i/>
      <sz val="8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9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9"/>
      <color indexed="10"/>
      <name val="Arial Cyr"/>
      <family val="0"/>
    </font>
    <font>
      <sz val="9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Wingdings 2"/>
      <family val="1"/>
    </font>
    <font>
      <u val="single"/>
      <sz val="11"/>
      <color indexed="12"/>
      <name val="Calibri"/>
      <family val="2"/>
    </font>
    <font>
      <i/>
      <sz val="8"/>
      <color indexed="10"/>
      <name val="Arial Cyr"/>
      <family val="2"/>
    </font>
    <font>
      <i/>
      <sz val="8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9"/>
      <color rgb="FFFF0000"/>
      <name val="Arial Cyr"/>
      <family val="0"/>
    </font>
    <font>
      <sz val="9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Wingdings 2"/>
      <family val="1"/>
    </font>
    <font>
      <u val="single"/>
      <sz val="11"/>
      <color theme="10"/>
      <name val="Calibri"/>
      <family val="2"/>
    </font>
    <font>
      <i/>
      <sz val="8"/>
      <color rgb="FFFF0000"/>
      <name val="Arial Cyr"/>
      <family val="2"/>
    </font>
    <font>
      <i/>
      <sz val="8"/>
      <color theme="1"/>
      <name val="Arial Cyr"/>
      <family val="0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00000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>
      <alignment/>
      <protection/>
    </xf>
    <xf numFmtId="0" fontId="41" fillId="0" borderId="0" applyProtection="0">
      <alignment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1" fillId="0" borderId="0">
      <alignment/>
      <protection/>
    </xf>
    <xf numFmtId="0" fontId="9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1476">
    <xf numFmtId="0" fontId="0" fillId="0" borderId="0" xfId="0" applyAlignment="1">
      <alignment/>
    </xf>
    <xf numFmtId="0" fontId="8" fillId="0" borderId="10" xfId="55" applyFont="1" applyFill="1" applyBorder="1" applyAlignment="1" applyProtection="1">
      <alignment horizontal="center" vertical="center"/>
      <protection hidden="1"/>
    </xf>
    <xf numFmtId="0" fontId="8" fillId="0" borderId="11" xfId="55" applyFont="1" applyFill="1" applyBorder="1" applyAlignment="1" applyProtection="1">
      <alignment horizontal="center" vertical="center" wrapText="1"/>
      <protection hidden="1"/>
    </xf>
    <xf numFmtId="0" fontId="8" fillId="0" borderId="12" xfId="55" applyFont="1" applyFill="1" applyBorder="1" applyAlignment="1" applyProtection="1">
      <alignment horizontal="center" vertical="center"/>
      <protection hidden="1"/>
    </xf>
    <xf numFmtId="0" fontId="9" fillId="0" borderId="13" xfId="55" applyFont="1" applyFill="1" applyBorder="1" applyAlignment="1" applyProtection="1">
      <alignment horizontal="left" vertical="top" wrapText="1"/>
      <protection hidden="1"/>
    </xf>
    <xf numFmtId="0" fontId="9" fillId="0" borderId="11" xfId="55" applyFont="1" applyFill="1" applyBorder="1" applyAlignment="1" applyProtection="1">
      <alignment horizontal="center" vertical="center" wrapText="1"/>
      <protection hidden="1"/>
    </xf>
    <xf numFmtId="0" fontId="10" fillId="0" borderId="11" xfId="55" applyFont="1" applyFill="1" applyBorder="1" applyAlignment="1" applyProtection="1">
      <alignment horizontal="center"/>
      <protection hidden="1" locked="0"/>
    </xf>
    <xf numFmtId="2" fontId="10" fillId="0" borderId="11" xfId="55" applyNumberFormat="1" applyFont="1" applyFill="1" applyBorder="1" applyAlignment="1" applyProtection="1">
      <alignment horizontal="center"/>
      <protection hidden="1" locked="0"/>
    </xf>
    <xf numFmtId="180" fontId="11" fillId="0" borderId="11" xfId="55" applyNumberFormat="1" applyFont="1" applyFill="1" applyBorder="1" applyAlignment="1" applyProtection="1">
      <alignment horizontal="center"/>
      <protection hidden="1"/>
    </xf>
    <xf numFmtId="215" fontId="11" fillId="0" borderId="11" xfId="55" applyNumberFormat="1" applyFont="1" applyFill="1" applyBorder="1" applyAlignment="1" applyProtection="1">
      <alignment horizontal="center"/>
      <protection hidden="1"/>
    </xf>
    <xf numFmtId="0" fontId="12" fillId="0" borderId="13" xfId="55" applyFont="1" applyFill="1" applyBorder="1" applyAlignment="1" applyProtection="1">
      <alignment horizontal="left" vertical="top" wrapText="1"/>
      <protection hidden="1"/>
    </xf>
    <xf numFmtId="0" fontId="9" fillId="0" borderId="13" xfId="55" applyFont="1" applyFill="1" applyBorder="1" applyAlignment="1" applyProtection="1">
      <alignment horizontal="left" vertical="center" wrapText="1"/>
      <protection hidden="1"/>
    </xf>
    <xf numFmtId="2" fontId="10" fillId="0" borderId="11" xfId="55" applyNumberFormat="1" applyFont="1" applyFill="1" applyBorder="1" applyProtection="1">
      <alignment/>
      <protection hidden="1"/>
    </xf>
    <xf numFmtId="180" fontId="11" fillId="0" borderId="11" xfId="55" applyNumberFormat="1" applyFont="1" applyFill="1" applyBorder="1" applyProtection="1">
      <alignment/>
      <protection hidden="1"/>
    </xf>
    <xf numFmtId="0" fontId="13" fillId="0" borderId="13" xfId="55" applyFont="1" applyFill="1" applyBorder="1" applyAlignment="1" applyProtection="1">
      <alignment horizontal="left" vertical="top" wrapText="1"/>
      <protection hidden="1"/>
    </xf>
    <xf numFmtId="214" fontId="10" fillId="0" borderId="11" xfId="55" applyNumberFormat="1" applyFont="1" applyFill="1" applyBorder="1" applyProtection="1">
      <alignment/>
      <protection hidden="1"/>
    </xf>
    <xf numFmtId="2" fontId="11" fillId="0" borderId="11" xfId="55" applyNumberFormat="1" applyFont="1" applyFill="1" applyBorder="1" applyProtection="1">
      <alignment/>
      <protection hidden="1"/>
    </xf>
    <xf numFmtId="214" fontId="11" fillId="0" borderId="11" xfId="55" applyNumberFormat="1" applyFont="1" applyFill="1" applyBorder="1" applyAlignment="1" applyProtection="1">
      <alignment horizontal="right"/>
      <protection hidden="1"/>
    </xf>
    <xf numFmtId="2" fontId="10" fillId="0" borderId="11" xfId="55" applyNumberFormat="1" applyFont="1" applyFill="1" applyBorder="1" applyAlignment="1" applyProtection="1">
      <alignment horizontal="right"/>
      <protection hidden="1"/>
    </xf>
    <xf numFmtId="214" fontId="10" fillId="0" borderId="11" xfId="55" applyNumberFormat="1" applyFont="1" applyFill="1" applyBorder="1" applyAlignment="1" applyProtection="1">
      <alignment horizontal="right"/>
      <protection hidden="1"/>
    </xf>
    <xf numFmtId="49" fontId="11" fillId="0" borderId="11" xfId="55" applyNumberFormat="1" applyFont="1" applyFill="1" applyBorder="1" applyAlignment="1" applyProtection="1">
      <alignment horizontal="right"/>
      <protection hidden="1"/>
    </xf>
    <xf numFmtId="215" fontId="11" fillId="0" borderId="11" xfId="55" applyNumberFormat="1" applyFont="1" applyFill="1" applyBorder="1" applyAlignment="1" applyProtection="1">
      <alignment horizontal="right"/>
      <protection hidden="1"/>
    </xf>
    <xf numFmtId="180" fontId="9" fillId="0" borderId="13" xfId="55" applyNumberFormat="1" applyFont="1" applyFill="1" applyBorder="1" applyAlignment="1" applyProtection="1">
      <alignment horizontal="left" vertical="top" wrapText="1"/>
      <protection hidden="1"/>
    </xf>
    <xf numFmtId="180" fontId="9" fillId="0" borderId="11" xfId="55" applyNumberFormat="1" applyFont="1" applyFill="1" applyBorder="1" applyAlignment="1" applyProtection="1">
      <alignment horizontal="center" vertical="center" wrapText="1"/>
      <protection hidden="1"/>
    </xf>
    <xf numFmtId="180" fontId="10" fillId="0" borderId="11" xfId="55" applyNumberFormat="1" applyFont="1" applyFill="1" applyBorder="1" applyProtection="1">
      <alignment/>
      <protection hidden="1" locked="0"/>
    </xf>
    <xf numFmtId="180" fontId="9" fillId="0" borderId="13" xfId="55" applyNumberFormat="1" applyFont="1" applyFill="1" applyBorder="1" applyAlignment="1" applyProtection="1">
      <alignment vertical="top" wrapText="1"/>
      <protection hidden="1"/>
    </xf>
    <xf numFmtId="0" fontId="15" fillId="0" borderId="13" xfId="55" applyFont="1" applyFill="1" applyBorder="1" applyAlignment="1" applyProtection="1">
      <alignment horizontal="left" vertical="top" wrapText="1"/>
      <protection/>
    </xf>
    <xf numFmtId="0" fontId="15" fillId="0" borderId="11" xfId="55" applyFont="1" applyFill="1" applyBorder="1" applyAlignment="1" applyProtection="1">
      <alignment horizontal="center" vertical="center" wrapText="1"/>
      <protection/>
    </xf>
    <xf numFmtId="2" fontId="10" fillId="0" borderId="11" xfId="55" applyNumberFormat="1" applyFont="1" applyFill="1" applyBorder="1" applyProtection="1">
      <alignment/>
      <protection hidden="1" locked="0"/>
    </xf>
    <xf numFmtId="0" fontId="15" fillId="0" borderId="13" xfId="55" applyFont="1" applyFill="1" applyBorder="1" applyAlignment="1" applyProtection="1">
      <alignment vertical="top" wrapText="1"/>
      <protection/>
    </xf>
    <xf numFmtId="2" fontId="15" fillId="0" borderId="11" xfId="55" applyNumberFormat="1" applyFont="1" applyFill="1" applyBorder="1" applyProtection="1">
      <alignment/>
      <protection hidden="1" locked="0"/>
    </xf>
    <xf numFmtId="2" fontId="11" fillId="0" borderId="11" xfId="55" applyNumberFormat="1" applyFont="1" applyFill="1" applyBorder="1" applyProtection="1">
      <alignment/>
      <protection hidden="1" locked="0"/>
    </xf>
    <xf numFmtId="0" fontId="15" fillId="0" borderId="11" xfId="55" applyFont="1" applyFill="1" applyBorder="1" applyProtection="1">
      <alignment/>
      <protection hidden="1" locked="0"/>
    </xf>
    <xf numFmtId="2" fontId="10" fillId="0" borderId="11" xfId="55" applyNumberFormat="1" applyFont="1" applyFill="1" applyBorder="1" applyAlignment="1" applyProtection="1">
      <alignment horizontal="right"/>
      <protection hidden="1" locked="0"/>
    </xf>
    <xf numFmtId="215" fontId="11" fillId="0" borderId="11" xfId="55" applyNumberFormat="1" applyFont="1" applyFill="1" applyBorder="1" applyAlignment="1" applyProtection="1">
      <alignment horizontal="right"/>
      <protection hidden="1" locked="0"/>
    </xf>
    <xf numFmtId="216" fontId="15" fillId="0" borderId="11" xfId="55" applyNumberFormat="1" applyFont="1" applyFill="1" applyBorder="1" applyProtection="1">
      <alignment/>
      <protection hidden="1" locked="0"/>
    </xf>
    <xf numFmtId="216" fontId="15" fillId="0" borderId="12" xfId="55" applyNumberFormat="1" applyFont="1" applyFill="1" applyBorder="1" applyProtection="1">
      <alignment/>
      <protection hidden="1" locked="0"/>
    </xf>
    <xf numFmtId="215" fontId="11" fillId="0" borderId="11" xfId="55" applyNumberFormat="1" applyFont="1" applyFill="1" applyBorder="1" applyAlignment="1" applyProtection="1">
      <alignment horizontal="right"/>
      <protection hidden="1" locked="0"/>
    </xf>
    <xf numFmtId="0" fontId="9" fillId="0" borderId="13" xfId="55" applyFont="1" applyFill="1" applyBorder="1" applyAlignment="1" applyProtection="1">
      <alignment horizontal="left" vertical="top" wrapText="1"/>
      <protection hidden="1"/>
    </xf>
    <xf numFmtId="0" fontId="9" fillId="0" borderId="11" xfId="55" applyFont="1" applyFill="1" applyBorder="1" applyAlignment="1" applyProtection="1">
      <alignment horizontal="center" vertical="center" wrapText="1"/>
      <protection hidden="1"/>
    </xf>
    <xf numFmtId="0" fontId="10" fillId="0" borderId="11" xfId="55" applyFont="1" applyFill="1" applyBorder="1" applyProtection="1">
      <alignment/>
      <protection hidden="1" locked="0"/>
    </xf>
    <xf numFmtId="0" fontId="9" fillId="0" borderId="13" xfId="55" applyFont="1" applyFill="1" applyBorder="1" applyAlignment="1" applyProtection="1">
      <alignment horizontal="left" vertical="top" wrapText="1" indent="2"/>
      <protection hidden="1"/>
    </xf>
    <xf numFmtId="0" fontId="15" fillId="0" borderId="11" xfId="55" applyFont="1" applyFill="1" applyBorder="1" applyAlignment="1" applyProtection="1">
      <alignment horizontal="right"/>
      <protection hidden="1"/>
    </xf>
    <xf numFmtId="0" fontId="10" fillId="0" borderId="11" xfId="55" applyFont="1" applyFill="1" applyBorder="1" applyProtection="1">
      <alignment/>
      <protection hidden="1" locked="0"/>
    </xf>
    <xf numFmtId="1" fontId="10" fillId="0" borderId="11" xfId="55" applyNumberFormat="1" applyFont="1" applyFill="1" applyBorder="1" applyAlignment="1" applyProtection="1">
      <alignment horizontal="right"/>
      <protection hidden="1" locked="0"/>
    </xf>
    <xf numFmtId="0" fontId="10" fillId="0" borderId="11" xfId="55" applyFont="1" applyFill="1" applyBorder="1" applyAlignment="1" applyProtection="1">
      <alignment horizontal="right"/>
      <protection hidden="1" locked="0"/>
    </xf>
    <xf numFmtId="0" fontId="9" fillId="0" borderId="13" xfId="55" applyFont="1" applyFill="1" applyBorder="1" applyAlignment="1" applyProtection="1">
      <alignment horizontal="left" vertical="top" wrapText="1" indent="3"/>
      <protection hidden="1"/>
    </xf>
    <xf numFmtId="49" fontId="10" fillId="0" borderId="11" xfId="55" applyNumberFormat="1" applyFont="1" applyFill="1" applyBorder="1" applyAlignment="1" applyProtection="1">
      <alignment horizontal="right"/>
      <protection hidden="1" locked="0"/>
    </xf>
    <xf numFmtId="0" fontId="10" fillId="0" borderId="11" xfId="55" applyFont="1" applyFill="1" applyBorder="1" applyAlignment="1" applyProtection="1">
      <alignment horizontal="right"/>
      <protection hidden="1"/>
    </xf>
    <xf numFmtId="214" fontId="10" fillId="0" borderId="11" xfId="55" applyNumberFormat="1" applyFont="1" applyFill="1" applyBorder="1" applyAlignment="1" applyProtection="1">
      <alignment horizontal="right"/>
      <protection hidden="1" locked="0"/>
    </xf>
    <xf numFmtId="0" fontId="10" fillId="0" borderId="11" xfId="55" applyFont="1" applyFill="1" applyBorder="1" applyProtection="1">
      <alignment/>
      <protection hidden="1"/>
    </xf>
    <xf numFmtId="0" fontId="16" fillId="0" borderId="13" xfId="55" applyFont="1" applyFill="1" applyBorder="1" applyAlignment="1" applyProtection="1">
      <alignment horizontal="left" vertical="top" wrapText="1"/>
      <protection hidden="1"/>
    </xf>
    <xf numFmtId="2" fontId="10" fillId="0" borderId="11" xfId="55" applyNumberFormat="1" applyFont="1" applyFill="1" applyBorder="1" applyProtection="1">
      <alignment/>
      <protection hidden="1" locked="0"/>
    </xf>
    <xf numFmtId="0" fontId="15" fillId="0" borderId="11" xfId="55" applyFont="1" applyFill="1" applyBorder="1" applyProtection="1">
      <alignment/>
      <protection hidden="1" locked="0"/>
    </xf>
    <xf numFmtId="1" fontId="19" fillId="0" borderId="11" xfId="55" applyNumberFormat="1" applyFont="1" applyFill="1" applyBorder="1" applyAlignment="1" applyProtection="1">
      <alignment horizontal="right"/>
      <protection locked="0"/>
    </xf>
    <xf numFmtId="49" fontId="11" fillId="0" borderId="11" xfId="55" applyNumberFormat="1" applyFont="1" applyFill="1" applyBorder="1" applyAlignment="1" applyProtection="1">
      <alignment horizontal="right"/>
      <protection hidden="1" locked="0"/>
    </xf>
    <xf numFmtId="2" fontId="10" fillId="0" borderId="11" xfId="55" applyNumberFormat="1" applyFont="1" applyFill="1" applyBorder="1" applyAlignment="1" applyProtection="1">
      <alignment horizontal="right"/>
      <protection hidden="1" locked="0"/>
    </xf>
    <xf numFmtId="214" fontId="11" fillId="0" borderId="11" xfId="55" applyNumberFormat="1" applyFont="1" applyFill="1" applyBorder="1" applyAlignment="1" applyProtection="1">
      <alignment horizontal="right"/>
      <protection hidden="1" locked="0"/>
    </xf>
    <xf numFmtId="214" fontId="10" fillId="0" borderId="11" xfId="55" applyNumberFormat="1" applyFont="1" applyFill="1" applyBorder="1" applyAlignment="1" applyProtection="1">
      <alignment horizontal="right"/>
      <protection hidden="1" locked="0"/>
    </xf>
    <xf numFmtId="49" fontId="10" fillId="0" borderId="12" xfId="55" applyNumberFormat="1" applyFont="1" applyFill="1" applyBorder="1" applyAlignment="1" applyProtection="1">
      <alignment horizontal="right"/>
      <protection hidden="1" locked="0"/>
    </xf>
    <xf numFmtId="1" fontId="10" fillId="0" borderId="11" xfId="55" applyNumberFormat="1" applyFont="1" applyFill="1" applyBorder="1" applyAlignment="1" applyProtection="1">
      <alignment horizontal="center"/>
      <protection hidden="1" locked="0"/>
    </xf>
    <xf numFmtId="0" fontId="9" fillId="0" borderId="13" xfId="55" applyFont="1" applyFill="1" applyBorder="1" applyAlignment="1" applyProtection="1">
      <alignment horizontal="left" vertical="top" wrapText="1" indent="1"/>
      <protection hidden="1"/>
    </xf>
    <xf numFmtId="214" fontId="21" fillId="0" borderId="11" xfId="55" applyNumberFormat="1" applyFont="1" applyFill="1" applyBorder="1" applyAlignment="1" applyProtection="1">
      <alignment horizontal="right"/>
      <protection hidden="1" locked="0"/>
    </xf>
    <xf numFmtId="0" fontId="15" fillId="0" borderId="13" xfId="55" applyFont="1" applyFill="1" applyBorder="1" applyAlignment="1" applyProtection="1">
      <alignment vertical="top" wrapText="1"/>
      <protection hidden="1"/>
    </xf>
    <xf numFmtId="0" fontId="9" fillId="0" borderId="11" xfId="55" applyFont="1" applyFill="1" applyBorder="1" applyAlignment="1" applyProtection="1">
      <alignment horizontal="center"/>
      <protection hidden="1"/>
    </xf>
    <xf numFmtId="215" fontId="21" fillId="0" borderId="11" xfId="55" applyNumberFormat="1" applyFont="1" applyFill="1" applyBorder="1" applyProtection="1">
      <alignment/>
      <protection hidden="1"/>
    </xf>
    <xf numFmtId="0" fontId="21" fillId="0" borderId="11" xfId="55" applyFont="1" applyFill="1" applyBorder="1" applyAlignment="1" applyProtection="1">
      <alignment horizontal="right"/>
      <protection hidden="1"/>
    </xf>
    <xf numFmtId="216" fontId="21" fillId="0" borderId="11" xfId="55" applyNumberFormat="1" applyFont="1" applyFill="1" applyBorder="1" applyAlignment="1" applyProtection="1">
      <alignment horizontal="right"/>
      <protection hidden="1" locked="0"/>
    </xf>
    <xf numFmtId="215" fontId="21" fillId="0" borderId="11" xfId="55" applyNumberFormat="1" applyFont="1" applyFill="1" applyBorder="1" applyAlignment="1" applyProtection="1">
      <alignment horizontal="right"/>
      <protection hidden="1" locked="0"/>
    </xf>
    <xf numFmtId="0" fontId="15" fillId="0" borderId="13" xfId="55" applyFont="1" applyFill="1" applyBorder="1" applyAlignment="1" applyProtection="1">
      <alignment horizontal="left" vertical="top" wrapText="1" indent="1"/>
      <protection hidden="1"/>
    </xf>
    <xf numFmtId="0" fontId="9" fillId="0" borderId="14" xfId="55" applyFont="1" applyFill="1" applyBorder="1" applyAlignment="1" applyProtection="1">
      <alignment horizontal="left" vertical="top" wrapText="1" indent="1"/>
      <protection hidden="1"/>
    </xf>
    <xf numFmtId="0" fontId="9" fillId="0" borderId="15" xfId="55" applyFont="1" applyFill="1" applyBorder="1" applyAlignment="1" applyProtection="1">
      <alignment horizontal="center" vertical="center" wrapText="1"/>
      <protection hidden="1"/>
    </xf>
    <xf numFmtId="0" fontId="21" fillId="0" borderId="15" xfId="55" applyFont="1" applyFill="1" applyBorder="1" applyAlignment="1" applyProtection="1">
      <alignment horizontal="right"/>
      <protection hidden="1"/>
    </xf>
    <xf numFmtId="215" fontId="15" fillId="0" borderId="0" xfId="55" applyNumberFormat="1" applyFont="1" applyFill="1" applyProtection="1">
      <alignment/>
      <protection hidden="1"/>
    </xf>
    <xf numFmtId="214" fontId="15" fillId="0" borderId="0" xfId="55" applyNumberFormat="1" applyFont="1" applyFill="1" applyProtection="1">
      <alignment/>
      <protection hidden="1"/>
    </xf>
    <xf numFmtId="0" fontId="101" fillId="0" borderId="11" xfId="55" applyFont="1" applyFill="1" applyBorder="1" applyAlignment="1" applyProtection="1">
      <alignment horizontal="right"/>
      <protection hidden="1"/>
    </xf>
    <xf numFmtId="0" fontId="101" fillId="0" borderId="11" xfId="55" applyFont="1" applyFill="1" applyBorder="1" applyProtection="1">
      <alignment/>
      <protection hidden="1" locked="0"/>
    </xf>
    <xf numFmtId="49" fontId="102" fillId="0" borderId="11" xfId="55" applyNumberFormat="1" applyFont="1" applyFill="1" applyBorder="1" applyAlignment="1" applyProtection="1">
      <alignment horizontal="right"/>
      <protection hidden="1" locked="0"/>
    </xf>
    <xf numFmtId="1" fontId="102" fillId="0" borderId="11" xfId="55" applyNumberFormat="1" applyFont="1" applyFill="1" applyBorder="1" applyAlignment="1" applyProtection="1">
      <alignment horizontal="center"/>
      <protection hidden="1" locked="0"/>
    </xf>
    <xf numFmtId="0" fontId="103" fillId="0" borderId="15" xfId="55" applyFont="1" applyFill="1" applyBorder="1" applyAlignment="1" applyProtection="1">
      <alignment horizontal="right"/>
      <protection hidden="1"/>
    </xf>
    <xf numFmtId="0" fontId="0" fillId="0" borderId="11" xfId="55" applyFont="1" applyFill="1" applyBorder="1" applyProtection="1">
      <alignment/>
      <protection hidden="1"/>
    </xf>
    <xf numFmtId="3" fontId="20" fillId="0" borderId="0" xfId="55" applyNumberFormat="1" applyFont="1" applyFill="1" applyBorder="1" applyAlignment="1">
      <alignment horizontal="right" wrapText="1"/>
      <protection/>
    </xf>
    <xf numFmtId="0" fontId="0" fillId="0" borderId="0" xfId="55" applyFont="1" applyFill="1" applyProtection="1">
      <alignment/>
      <protection hidden="1"/>
    </xf>
    <xf numFmtId="214" fontId="10" fillId="0" borderId="0" xfId="55" applyNumberFormat="1" applyFont="1" applyFill="1" applyBorder="1" applyAlignment="1" applyProtection="1">
      <alignment horizontal="right"/>
      <protection hidden="1" locked="0"/>
    </xf>
    <xf numFmtId="214" fontId="10" fillId="0" borderId="0" xfId="55" applyNumberFormat="1" applyFont="1" applyFill="1" applyBorder="1" applyAlignment="1" applyProtection="1">
      <alignment horizontal="right"/>
      <protection hidden="1"/>
    </xf>
    <xf numFmtId="0" fontId="0" fillId="0" borderId="0" xfId="55" applyFont="1" applyFill="1" applyProtection="1" quotePrefix="1">
      <alignment/>
      <protection hidden="1"/>
    </xf>
    <xf numFmtId="0" fontId="28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12" xfId="55" applyFont="1" applyFill="1" applyBorder="1" applyProtection="1">
      <alignment/>
      <protection hidden="1" locked="0"/>
    </xf>
    <xf numFmtId="214" fontId="10" fillId="0" borderId="12" xfId="55" applyNumberFormat="1" applyFont="1" applyFill="1" applyBorder="1" applyAlignment="1" applyProtection="1">
      <alignment horizontal="right"/>
      <protection hidden="1" locked="0"/>
    </xf>
    <xf numFmtId="4" fontId="10" fillId="0" borderId="11" xfId="55" applyNumberFormat="1" applyFont="1" applyFill="1" applyBorder="1" applyProtection="1">
      <alignment/>
      <protection hidden="1" locked="0"/>
    </xf>
    <xf numFmtId="3" fontId="19" fillId="0" borderId="11" xfId="55" applyNumberFormat="1" applyFont="1" applyFill="1" applyBorder="1" applyAlignment="1" applyProtection="1">
      <alignment horizontal="right"/>
      <protection locked="0"/>
    </xf>
    <xf numFmtId="188" fontId="11" fillId="0" borderId="11" xfId="55" applyNumberFormat="1" applyFont="1" applyFill="1" applyBorder="1" applyAlignment="1" applyProtection="1">
      <alignment horizontal="right"/>
      <protection hidden="1" locked="0"/>
    </xf>
    <xf numFmtId="3" fontId="10" fillId="0" borderId="11" xfId="55" applyNumberFormat="1" applyFont="1" applyFill="1" applyBorder="1" applyAlignment="1" applyProtection="1">
      <alignment horizontal="right"/>
      <protection hidden="1" locked="0"/>
    </xf>
    <xf numFmtId="4" fontId="10" fillId="0" borderId="11" xfId="55" applyNumberFormat="1" applyFont="1" applyFill="1" applyBorder="1" applyAlignment="1" applyProtection="1">
      <alignment horizontal="right"/>
      <protection hidden="1" locked="0"/>
    </xf>
    <xf numFmtId="2" fontId="21" fillId="0" borderId="11" xfId="55" applyNumberFormat="1" applyFont="1" applyFill="1" applyBorder="1" applyAlignment="1">
      <alignment horizontal="right" vertical="top" wrapText="1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2" fontId="10" fillId="0" borderId="0" xfId="55" applyNumberFormat="1" applyFont="1" applyFill="1" applyBorder="1" applyProtection="1">
      <alignment/>
      <protection hidden="1"/>
    </xf>
    <xf numFmtId="0" fontId="0" fillId="0" borderId="14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ill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17" xfId="55" applyFont="1" applyFill="1" applyBorder="1" applyAlignment="1" applyProtection="1">
      <alignment horizontal="center"/>
      <protection hidden="1"/>
    </xf>
    <xf numFmtId="0" fontId="7" fillId="0" borderId="17" xfId="55" applyFont="1" applyFill="1" applyBorder="1" applyProtection="1">
      <alignment/>
      <protection hidden="1"/>
    </xf>
    <xf numFmtId="0" fontId="7" fillId="0" borderId="18" xfId="55" applyFont="1" applyFill="1" applyBorder="1" applyProtection="1">
      <alignment/>
      <protection hidden="1"/>
    </xf>
    <xf numFmtId="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33" borderId="0" xfId="0" applyFill="1" applyAlignment="1">
      <alignment/>
    </xf>
    <xf numFmtId="0" fontId="7" fillId="0" borderId="28" xfId="0" applyFont="1" applyBorder="1" applyAlignment="1">
      <alignment/>
    </xf>
    <xf numFmtId="4" fontId="10" fillId="0" borderId="11" xfId="55" applyNumberFormat="1" applyFont="1" applyFill="1" applyBorder="1" applyProtection="1">
      <alignment/>
      <protection hidden="1"/>
    </xf>
    <xf numFmtId="0" fontId="15" fillId="0" borderId="11" xfId="55" applyFont="1" applyFill="1" applyBorder="1" applyAlignment="1" applyProtection="1">
      <alignment horizontal="right"/>
      <protection hidden="1"/>
    </xf>
    <xf numFmtId="4" fontId="10" fillId="0" borderId="12" xfId="55" applyNumberFormat="1" applyFont="1" applyFill="1" applyBorder="1" applyAlignment="1" applyProtection="1">
      <alignment horizontal="right"/>
      <protection hidden="1" locked="0"/>
    </xf>
    <xf numFmtId="0" fontId="21" fillId="0" borderId="11" xfId="55" applyFont="1" applyFill="1" applyBorder="1" applyAlignment="1">
      <alignment horizontal="right" vertical="top" wrapText="1"/>
      <protection/>
    </xf>
    <xf numFmtId="197" fontId="21" fillId="0" borderId="11" xfId="55" applyNumberFormat="1" applyFont="1" applyFill="1" applyBorder="1" applyAlignment="1">
      <alignment horizontal="right" vertical="top" wrapText="1"/>
      <protection/>
    </xf>
    <xf numFmtId="182" fontId="21" fillId="0" borderId="11" xfId="55" applyNumberFormat="1" applyFont="1" applyFill="1" applyBorder="1" applyAlignment="1" applyProtection="1">
      <alignment horizontal="right"/>
      <protection hidden="1" locked="0"/>
    </xf>
    <xf numFmtId="4" fontId="0" fillId="0" borderId="2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34" borderId="40" xfId="0" applyNumberFormat="1" applyFill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7" fillId="0" borderId="45" xfId="0" applyFont="1" applyBorder="1" applyAlignment="1">
      <alignment wrapText="1"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4" fontId="0" fillId="0" borderId="50" xfId="0" applyNumberFormat="1" applyBorder="1" applyAlignment="1">
      <alignment/>
    </xf>
    <xf numFmtId="4" fontId="0" fillId="35" borderId="33" xfId="0" applyNumberFormat="1" applyFill="1" applyBorder="1" applyAlignment="1">
      <alignment/>
    </xf>
    <xf numFmtId="4" fontId="0" fillId="35" borderId="15" xfId="0" applyNumberFormat="1" applyFill="1" applyBorder="1" applyAlignment="1">
      <alignment/>
    </xf>
    <xf numFmtId="4" fontId="0" fillId="35" borderId="34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6" borderId="33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34" xfId="0" applyNumberFormat="1" applyFill="1" applyBorder="1" applyAlignment="1">
      <alignment/>
    </xf>
    <xf numFmtId="0" fontId="0" fillId="0" borderId="51" xfId="0" applyBorder="1" applyAlignment="1">
      <alignment/>
    </xf>
    <xf numFmtId="4" fontId="7" fillId="0" borderId="52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0" fontId="0" fillId="0" borderId="0" xfId="55" applyFont="1" applyFill="1" applyBorder="1" applyAlignment="1" applyProtection="1">
      <alignment vertical="top" wrapText="1"/>
      <protection hidden="1"/>
    </xf>
    <xf numFmtId="0" fontId="0" fillId="0" borderId="0" xfId="55" applyFont="1" applyFill="1" applyBorder="1" applyProtection="1">
      <alignment/>
      <protection hidden="1"/>
    </xf>
    <xf numFmtId="0" fontId="0" fillId="0" borderId="0" xfId="55" applyFont="1" applyFill="1" applyProtection="1">
      <alignment/>
      <protection hidden="1"/>
    </xf>
    <xf numFmtId="180" fontId="0" fillId="0" borderId="0" xfId="55" applyNumberFormat="1" applyFont="1" applyFill="1" applyProtection="1">
      <alignment/>
      <protection hidden="1"/>
    </xf>
    <xf numFmtId="0" fontId="0" fillId="0" borderId="12" xfId="55" applyFont="1" applyFill="1" applyBorder="1" applyProtection="1">
      <alignment/>
      <protection hidden="1"/>
    </xf>
    <xf numFmtId="2" fontId="0" fillId="0" borderId="11" xfId="55" applyNumberFormat="1" applyFont="1" applyFill="1" applyBorder="1" applyProtection="1">
      <alignment/>
      <protection hidden="1"/>
    </xf>
    <xf numFmtId="4" fontId="0" fillId="0" borderId="0" xfId="55" applyNumberFormat="1" applyFont="1" applyFill="1" applyProtection="1">
      <alignment/>
      <protection hidden="1"/>
    </xf>
    <xf numFmtId="2" fontId="0" fillId="0" borderId="0" xfId="55" applyNumberFormat="1" applyFont="1" applyFill="1" applyProtection="1">
      <alignment/>
      <protection hidden="1"/>
    </xf>
    <xf numFmtId="4" fontId="0" fillId="0" borderId="0" xfId="55" applyNumberFormat="1" applyFont="1" applyFill="1" applyBorder="1" applyProtection="1">
      <alignment/>
      <protection hidden="1"/>
    </xf>
    <xf numFmtId="0" fontId="0" fillId="0" borderId="0" xfId="55" applyFont="1" applyFill="1" applyAlignment="1" applyProtection="1">
      <alignment vertical="top" wrapText="1"/>
      <protection hidden="1"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0" fontId="104" fillId="0" borderId="0" xfId="0" applyFont="1" applyAlignment="1">
      <alignment/>
    </xf>
    <xf numFmtId="0" fontId="104" fillId="0" borderId="0" xfId="0" applyFont="1" applyFill="1" applyBorder="1" applyAlignment="1">
      <alignment/>
    </xf>
    <xf numFmtId="0" fontId="95" fillId="0" borderId="14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/>
    </xf>
    <xf numFmtId="4" fontId="104" fillId="36" borderId="25" xfId="0" applyNumberFormat="1" applyFont="1" applyFill="1" applyBorder="1" applyAlignment="1">
      <alignment horizontal="center"/>
    </xf>
    <xf numFmtId="4" fontId="104" fillId="36" borderId="10" xfId="0" applyNumberFormat="1" applyFont="1" applyFill="1" applyBorder="1" applyAlignment="1">
      <alignment horizontal="center"/>
    </xf>
    <xf numFmtId="4" fontId="95" fillId="0" borderId="13" xfId="0" applyNumberFormat="1" applyFont="1" applyBorder="1" applyAlignment="1">
      <alignment horizontal="center"/>
    </xf>
    <xf numFmtId="4" fontId="95" fillId="0" borderId="11" xfId="0" applyNumberFormat="1" applyFont="1" applyBorder="1" applyAlignment="1">
      <alignment horizontal="center"/>
    </xf>
    <xf numFmtId="4" fontId="95" fillId="0" borderId="13" xfId="0" applyNumberFormat="1" applyFont="1" applyFill="1" applyBorder="1" applyAlignment="1">
      <alignment horizontal="center"/>
    </xf>
    <xf numFmtId="4" fontId="95" fillId="0" borderId="35" xfId="0" applyNumberFormat="1" applyFont="1" applyFill="1" applyBorder="1" applyAlignment="1">
      <alignment horizontal="center"/>
    </xf>
    <xf numFmtId="4" fontId="95" fillId="0" borderId="14" xfId="0" applyNumberFormat="1" applyFont="1" applyBorder="1" applyAlignment="1">
      <alignment horizontal="center"/>
    </xf>
    <xf numFmtId="4" fontId="95" fillId="0" borderId="15" xfId="0" applyNumberFormat="1" applyFont="1" applyBorder="1" applyAlignment="1">
      <alignment horizontal="center"/>
    </xf>
    <xf numFmtId="4" fontId="95" fillId="0" borderId="14" xfId="0" applyNumberFormat="1" applyFont="1" applyFill="1" applyBorder="1" applyAlignment="1">
      <alignment horizontal="center"/>
    </xf>
    <xf numFmtId="4" fontId="95" fillId="0" borderId="36" xfId="0" applyNumberFormat="1" applyFont="1" applyFill="1" applyBorder="1" applyAlignment="1">
      <alignment horizontal="center"/>
    </xf>
    <xf numFmtId="4" fontId="105" fillId="0" borderId="48" xfId="0" applyNumberFormat="1" applyFont="1" applyBorder="1" applyAlignment="1">
      <alignment horizontal="center"/>
    </xf>
    <xf numFmtId="4" fontId="105" fillId="0" borderId="17" xfId="0" applyNumberFormat="1" applyFont="1" applyBorder="1" applyAlignment="1">
      <alignment horizontal="center"/>
    </xf>
    <xf numFmtId="3" fontId="105" fillId="0" borderId="18" xfId="0" applyNumberFormat="1" applyFont="1" applyBorder="1" applyAlignment="1">
      <alignment horizontal="center"/>
    </xf>
    <xf numFmtId="4" fontId="105" fillId="0" borderId="54" xfId="0" applyNumberFormat="1" applyFont="1" applyBorder="1" applyAlignment="1">
      <alignment horizontal="center"/>
    </xf>
    <xf numFmtId="0" fontId="105" fillId="0" borderId="45" xfId="0" applyFont="1" applyBorder="1" applyAlignment="1">
      <alignment horizontal="center" vertical="center"/>
    </xf>
    <xf numFmtId="0" fontId="105" fillId="0" borderId="54" xfId="0" applyFont="1" applyBorder="1" applyAlignment="1">
      <alignment/>
    </xf>
    <xf numFmtId="180" fontId="104" fillId="36" borderId="48" xfId="0" applyNumberFormat="1" applyFont="1" applyFill="1" applyBorder="1" applyAlignment="1">
      <alignment horizontal="center"/>
    </xf>
    <xf numFmtId="180" fontId="104" fillId="36" borderId="17" xfId="0" applyNumberFormat="1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106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vertical="center"/>
    </xf>
    <xf numFmtId="3" fontId="106" fillId="0" borderId="11" xfId="0" applyNumberFormat="1" applyFont="1" applyBorder="1" applyAlignment="1">
      <alignment horizontal="center" vertical="center"/>
    </xf>
    <xf numFmtId="4" fontId="106" fillId="0" borderId="11" xfId="0" applyNumberFormat="1" applyFont="1" applyFill="1" applyBorder="1" applyAlignment="1">
      <alignment horizontal="center" vertical="center"/>
    </xf>
    <xf numFmtId="4" fontId="106" fillId="0" borderId="11" xfId="0" applyNumberFormat="1" applyFont="1" applyBorder="1" applyAlignment="1">
      <alignment horizontal="center" vertical="center"/>
    </xf>
    <xf numFmtId="0" fontId="104" fillId="0" borderId="0" xfId="0" applyFont="1" applyBorder="1" applyAlignment="1">
      <alignment vertical="top" wrapText="1"/>
    </xf>
    <xf numFmtId="0" fontId="31" fillId="0" borderId="0" xfId="0" applyFont="1" applyBorder="1" applyAlignment="1">
      <alignment/>
    </xf>
    <xf numFmtId="0" fontId="104" fillId="0" borderId="0" xfId="0" applyFont="1" applyBorder="1" applyAlignment="1">
      <alignment wrapText="1"/>
    </xf>
    <xf numFmtId="0" fontId="34" fillId="0" borderId="0" xfId="55" applyFont="1" applyFill="1" applyProtection="1">
      <alignment/>
      <protection hidden="1"/>
    </xf>
    <xf numFmtId="0" fontId="10" fillId="0" borderId="11" xfId="55" applyFont="1" applyFill="1" applyBorder="1" applyAlignment="1" applyProtection="1">
      <alignment vertical="center"/>
      <protection hidden="1" locked="0"/>
    </xf>
    <xf numFmtId="4" fontId="0" fillId="0" borderId="11" xfId="55" applyNumberFormat="1" applyFont="1" applyFill="1" applyBorder="1" applyProtection="1">
      <alignment/>
      <protection hidden="1"/>
    </xf>
    <xf numFmtId="197" fontId="29" fillId="0" borderId="0" xfId="0" applyNumberFormat="1" applyFont="1" applyFill="1" applyBorder="1" applyAlignment="1" applyProtection="1">
      <alignment horizontal="center" vertical="center" wrapText="1"/>
      <protection/>
    </xf>
    <xf numFmtId="197" fontId="30" fillId="0" borderId="0" xfId="0" applyNumberFormat="1" applyFont="1" applyFill="1" applyBorder="1" applyAlignment="1" applyProtection="1">
      <alignment horizontal="center" vertical="center"/>
      <protection locked="0"/>
    </xf>
    <xf numFmtId="197" fontId="29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1" xfId="55" applyNumberFormat="1" applyFont="1" applyFill="1" applyBorder="1" applyAlignment="1" applyProtection="1">
      <alignment horizontal="right" vertical="center"/>
      <protection hidden="1" locked="0"/>
    </xf>
    <xf numFmtId="1" fontId="102" fillId="0" borderId="11" xfId="55" applyNumberFormat="1" applyFont="1" applyFill="1" applyBorder="1" applyAlignment="1" applyProtection="1">
      <alignment horizontal="center" vertical="center"/>
      <protection hidden="1" locked="0"/>
    </xf>
    <xf numFmtId="49" fontId="11" fillId="0" borderId="11" xfId="55" applyNumberFormat="1" applyFont="1" applyFill="1" applyBorder="1" applyAlignment="1" applyProtection="1">
      <alignment horizontal="right" vertical="center"/>
      <protection hidden="1" locked="0"/>
    </xf>
    <xf numFmtId="215" fontId="21" fillId="0" borderId="0" xfId="55" applyNumberFormat="1" applyFont="1" applyFill="1" applyBorder="1" applyProtection="1">
      <alignment/>
      <protection hidden="1"/>
    </xf>
    <xf numFmtId="214" fontId="0" fillId="0" borderId="0" xfId="55" applyNumberFormat="1" applyFont="1" applyFill="1" applyProtection="1">
      <alignment/>
      <protection hidden="1"/>
    </xf>
    <xf numFmtId="0" fontId="0" fillId="0" borderId="0" xfId="55" applyFont="1" applyFill="1" applyBorder="1" applyProtection="1">
      <alignment/>
      <protection hidden="1"/>
    </xf>
    <xf numFmtId="1" fontId="107" fillId="0" borderId="11" xfId="55" applyNumberFormat="1" applyFont="1" applyFill="1" applyBorder="1" applyAlignment="1" applyProtection="1">
      <alignment horizontal="right"/>
      <protection hidden="1" locked="0"/>
    </xf>
    <xf numFmtId="1" fontId="10" fillId="0" borderId="11" xfId="55" applyNumberFormat="1" applyFont="1" applyFill="1" applyBorder="1" applyAlignment="1" applyProtection="1">
      <alignment horizontal="center" vertical="center"/>
      <protection hidden="1" locked="0"/>
    </xf>
    <xf numFmtId="215" fontId="35" fillId="0" borderId="11" xfId="55" applyNumberFormat="1" applyFont="1" applyFill="1" applyBorder="1" applyAlignment="1" applyProtection="1">
      <alignment horizontal="right"/>
      <protection hidden="1" locked="0"/>
    </xf>
    <xf numFmtId="4" fontId="10" fillId="0" borderId="12" xfId="55" applyNumberFormat="1" applyFont="1" applyFill="1" applyBorder="1" applyProtection="1">
      <alignment/>
      <protection hidden="1" locked="0"/>
    </xf>
    <xf numFmtId="197" fontId="10" fillId="0" borderId="11" xfId="55" applyNumberFormat="1" applyFont="1" applyFill="1" applyBorder="1" applyProtection="1">
      <alignment/>
      <protection hidden="1" locked="0"/>
    </xf>
    <xf numFmtId="2" fontId="10" fillId="0" borderId="11" xfId="55" applyNumberFormat="1" applyFont="1" applyFill="1" applyBorder="1" applyAlignment="1" applyProtection="1">
      <alignment horizontal="right" vertical="center"/>
      <protection hidden="1" locked="0"/>
    </xf>
    <xf numFmtId="0" fontId="28" fillId="0" borderId="0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31" fillId="0" borderId="25" xfId="0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0" fillId="0" borderId="25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8" fillId="0" borderId="1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4" fontId="32" fillId="0" borderId="34" xfId="0" applyNumberFormat="1" applyFont="1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14" xfId="0" applyFont="1" applyBorder="1" applyAlignment="1">
      <alignment/>
    </xf>
    <xf numFmtId="0" fontId="31" fillId="0" borderId="22" xfId="0" applyFont="1" applyBorder="1" applyAlignment="1">
      <alignment horizontal="center" vertical="center"/>
    </xf>
    <xf numFmtId="197" fontId="5" fillId="0" borderId="10" xfId="0" applyNumberFormat="1" applyFont="1" applyBorder="1" applyAlignment="1">
      <alignment/>
    </xf>
    <xf numFmtId="197" fontId="5" fillId="0" borderId="30" xfId="0" applyNumberFormat="1" applyFont="1" applyBorder="1" applyAlignment="1">
      <alignment/>
    </xf>
    <xf numFmtId="197" fontId="31" fillId="0" borderId="15" xfId="0" applyNumberFormat="1" applyFont="1" applyBorder="1" applyAlignment="1">
      <alignment horizontal="right"/>
    </xf>
    <xf numFmtId="197" fontId="31" fillId="0" borderId="34" xfId="0" applyNumberFormat="1" applyFont="1" applyBorder="1" applyAlignment="1">
      <alignment horizontal="right"/>
    </xf>
    <xf numFmtId="197" fontId="31" fillId="0" borderId="12" xfId="0" applyNumberFormat="1" applyFont="1" applyBorder="1" applyAlignment="1">
      <alignment horizontal="right"/>
    </xf>
    <xf numFmtId="197" fontId="5" fillId="0" borderId="30" xfId="0" applyNumberFormat="1" applyFont="1" applyBorder="1" applyAlignment="1">
      <alignment horizontal="right"/>
    </xf>
    <xf numFmtId="197" fontId="5" fillId="0" borderId="34" xfId="0" applyNumberFormat="1" applyFont="1" applyBorder="1" applyAlignment="1">
      <alignment horizontal="right"/>
    </xf>
    <xf numFmtId="0" fontId="33" fillId="0" borderId="16" xfId="0" applyFont="1" applyBorder="1" applyAlignment="1">
      <alignment horizontal="left"/>
    </xf>
    <xf numFmtId="3" fontId="32" fillId="0" borderId="11" xfId="0" applyNumberFormat="1" applyFont="1" applyBorder="1" applyAlignment="1">
      <alignment horizontal="right"/>
    </xf>
    <xf numFmtId="4" fontId="32" fillId="0" borderId="12" xfId="0" applyNumberFormat="1" applyFont="1" applyBorder="1" applyAlignment="1">
      <alignment/>
    </xf>
    <xf numFmtId="4" fontId="32" fillId="0" borderId="30" xfId="0" applyNumberFormat="1" applyFont="1" applyBorder="1" applyAlignment="1">
      <alignment/>
    </xf>
    <xf numFmtId="3" fontId="33" fillId="0" borderId="11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/>
    </xf>
    <xf numFmtId="4" fontId="32" fillId="0" borderId="34" xfId="0" applyNumberFormat="1" applyFont="1" applyBorder="1" applyAlignment="1">
      <alignment/>
    </xf>
    <xf numFmtId="4" fontId="33" fillId="0" borderId="12" xfId="0" applyNumberFormat="1" applyFont="1" applyBorder="1" applyAlignment="1">
      <alignment horizontal="right"/>
    </xf>
    <xf numFmtId="4" fontId="33" fillId="0" borderId="55" xfId="0" applyNumberFormat="1" applyFont="1" applyBorder="1" applyAlignment="1">
      <alignment horizontal="right"/>
    </xf>
    <xf numFmtId="3" fontId="33" fillId="0" borderId="12" xfId="0" applyNumberFormat="1" applyFont="1" applyBorder="1" applyAlignment="1">
      <alignment horizontal="right"/>
    </xf>
    <xf numFmtId="4" fontId="33" fillId="0" borderId="12" xfId="0" applyNumberFormat="1" applyFont="1" applyBorder="1" applyAlignment="1">
      <alignment horizontal="left"/>
    </xf>
    <xf numFmtId="4" fontId="33" fillId="0" borderId="55" xfId="0" applyNumberFormat="1" applyFont="1" applyBorder="1" applyAlignment="1">
      <alignment horizontal="left"/>
    </xf>
    <xf numFmtId="0" fontId="20" fillId="36" borderId="13" xfId="0" applyFont="1" applyFill="1" applyBorder="1" applyAlignment="1">
      <alignment/>
    </xf>
    <xf numFmtId="0" fontId="28" fillId="36" borderId="11" xfId="0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right"/>
    </xf>
    <xf numFmtId="0" fontId="20" fillId="36" borderId="14" xfId="0" applyFont="1" applyFill="1" applyBorder="1" applyAlignment="1">
      <alignment/>
    </xf>
    <xf numFmtId="0" fontId="28" fillId="36" borderId="15" xfId="0" applyFont="1" applyFill="1" applyBorder="1" applyAlignment="1">
      <alignment horizontal="center" vertical="center"/>
    </xf>
    <xf numFmtId="4" fontId="8" fillId="36" borderId="15" xfId="0" applyNumberFormat="1" applyFont="1" applyFill="1" applyBorder="1" applyAlignment="1">
      <alignment horizontal="right"/>
    </xf>
    <xf numFmtId="4" fontId="7" fillId="0" borderId="56" xfId="55" applyNumberFormat="1" applyFont="1" applyFill="1" applyBorder="1" applyProtection="1">
      <alignment/>
      <protection hidden="1"/>
    </xf>
    <xf numFmtId="4" fontId="7" fillId="0" borderId="55" xfId="55" applyNumberFormat="1" applyFont="1" applyFill="1" applyBorder="1" applyProtection="1">
      <alignment/>
      <protection hidden="1"/>
    </xf>
    <xf numFmtId="4" fontId="0" fillId="0" borderId="48" xfId="55" applyNumberFormat="1" applyFont="1" applyFill="1" applyBorder="1" applyProtection="1">
      <alignment/>
      <protection hidden="1"/>
    </xf>
    <xf numFmtId="4" fontId="0" fillId="0" borderId="17" xfId="55" applyNumberFormat="1" applyFont="1" applyFill="1" applyBorder="1" applyProtection="1">
      <alignment/>
      <protection hidden="1"/>
    </xf>
    <xf numFmtId="4" fontId="0" fillId="0" borderId="18" xfId="55" applyNumberFormat="1" applyFont="1" applyFill="1" applyBorder="1" applyProtection="1">
      <alignment/>
      <protection hidden="1"/>
    </xf>
    <xf numFmtId="0" fontId="10" fillId="0" borderId="12" xfId="55" applyFont="1" applyFill="1" applyBorder="1" applyProtection="1">
      <alignment/>
      <protection hidden="1"/>
    </xf>
    <xf numFmtId="0" fontId="21" fillId="0" borderId="34" xfId="55" applyFont="1" applyFill="1" applyBorder="1" applyAlignment="1" applyProtection="1">
      <alignment horizontal="right"/>
      <protection hidden="1"/>
    </xf>
    <xf numFmtId="0" fontId="10" fillId="0" borderId="11" xfId="55" applyFont="1" applyFill="1" applyBorder="1" applyAlignment="1" applyProtection="1">
      <alignment vertical="center"/>
      <protection hidden="1" locked="0"/>
    </xf>
    <xf numFmtId="0" fontId="10" fillId="0" borderId="12" xfId="55" applyFont="1" applyFill="1" applyBorder="1" applyAlignment="1" applyProtection="1">
      <alignment vertical="center"/>
      <protection hidden="1" locked="0"/>
    </xf>
    <xf numFmtId="3" fontId="19" fillId="0" borderId="11" xfId="55" applyNumberFormat="1" applyFont="1" applyFill="1" applyBorder="1" applyAlignment="1" applyProtection="1">
      <alignment horizontal="right" vertical="center"/>
      <protection locked="0"/>
    </xf>
    <xf numFmtId="188" fontId="11" fillId="0" borderId="11" xfId="55" applyNumberFormat="1" applyFont="1" applyFill="1" applyBorder="1" applyAlignment="1" applyProtection="1">
      <alignment horizontal="right" vertical="center"/>
      <protection hidden="1" locked="0"/>
    </xf>
    <xf numFmtId="188" fontId="11" fillId="0" borderId="12" xfId="55" applyNumberFormat="1" applyFont="1" applyFill="1" applyBorder="1" applyAlignment="1" applyProtection="1">
      <alignment horizontal="right" vertical="center"/>
      <protection hidden="1" locked="0"/>
    </xf>
    <xf numFmtId="214" fontId="10" fillId="0" borderId="11" xfId="55" applyNumberFormat="1" applyFont="1" applyFill="1" applyBorder="1" applyAlignment="1" applyProtection="1">
      <alignment horizontal="right" vertical="center"/>
      <protection hidden="1" locked="0"/>
    </xf>
    <xf numFmtId="9" fontId="11" fillId="0" borderId="11" xfId="55" applyNumberFormat="1" applyFont="1" applyFill="1" applyBorder="1" applyAlignment="1" applyProtection="1">
      <alignment horizontal="right" vertical="center"/>
      <protection hidden="1" locked="0"/>
    </xf>
    <xf numFmtId="3" fontId="107" fillId="0" borderId="11" xfId="55" applyNumberFormat="1" applyFont="1" applyFill="1" applyBorder="1" applyAlignment="1" applyProtection="1">
      <alignment horizontal="right" vertical="center"/>
      <protection hidden="1" locked="0"/>
    </xf>
    <xf numFmtId="0" fontId="9" fillId="0" borderId="41" xfId="55" applyFont="1" applyFill="1" applyBorder="1" applyAlignment="1" applyProtection="1">
      <alignment horizontal="left" vertical="top" wrapText="1" indent="1"/>
      <protection hidden="1"/>
    </xf>
    <xf numFmtId="0" fontId="9" fillId="0" borderId="42" xfId="55" applyFont="1" applyFill="1" applyBorder="1" applyAlignment="1" applyProtection="1">
      <alignment horizontal="center" vertical="center" wrapText="1"/>
      <protection hidden="1"/>
    </xf>
    <xf numFmtId="0" fontId="21" fillId="0" borderId="42" xfId="55" applyFont="1" applyFill="1" applyBorder="1" applyAlignment="1" applyProtection="1">
      <alignment horizontal="right"/>
      <protection hidden="1"/>
    </xf>
    <xf numFmtId="0" fontId="103" fillId="0" borderId="42" xfId="55" applyFont="1" applyFill="1" applyBorder="1" applyAlignment="1" applyProtection="1">
      <alignment horizontal="right"/>
      <protection hidden="1"/>
    </xf>
    <xf numFmtId="0" fontId="21" fillId="0" borderId="43" xfId="55" applyFont="1" applyFill="1" applyBorder="1" applyAlignment="1" applyProtection="1">
      <alignment horizontal="right"/>
      <protection hidden="1"/>
    </xf>
    <xf numFmtId="215" fontId="21" fillId="0" borderId="15" xfId="55" applyNumberFormat="1" applyFont="1" applyFill="1" applyBorder="1" applyAlignment="1" applyProtection="1">
      <alignment horizontal="right"/>
      <protection hidden="1" locked="0"/>
    </xf>
    <xf numFmtId="197" fontId="0" fillId="0" borderId="0" xfId="55" applyNumberFormat="1" applyFont="1" applyFill="1" applyProtection="1">
      <alignment/>
      <protection hidden="1"/>
    </xf>
    <xf numFmtId="198" fontId="5" fillId="0" borderId="45" xfId="0" applyNumberFormat="1" applyFont="1" applyBorder="1" applyAlignment="1">
      <alignment/>
    </xf>
    <xf numFmtId="0" fontId="5" fillId="0" borderId="45" xfId="0" applyFont="1" applyFill="1" applyBorder="1" applyAlignment="1">
      <alignment/>
    </xf>
    <xf numFmtId="198" fontId="31" fillId="0" borderId="56" xfId="0" applyNumberFormat="1" applyFont="1" applyBorder="1" applyAlignment="1">
      <alignment/>
    </xf>
    <xf numFmtId="0" fontId="31" fillId="0" borderId="16" xfId="0" applyFont="1" applyBorder="1" applyAlignment="1">
      <alignment/>
    </xf>
    <xf numFmtId="198" fontId="31" fillId="0" borderId="11" xfId="0" applyNumberFormat="1" applyFont="1" applyBorder="1" applyAlignment="1">
      <alignment/>
    </xf>
    <xf numFmtId="198" fontId="31" fillId="0" borderId="42" xfId="0" applyNumberFormat="1" applyFont="1" applyBorder="1" applyAlignment="1">
      <alignment/>
    </xf>
    <xf numFmtId="0" fontId="31" fillId="0" borderId="41" xfId="0" applyFont="1" applyBorder="1" applyAlignment="1">
      <alignment/>
    </xf>
    <xf numFmtId="0" fontId="5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52" xfId="0" applyFont="1" applyBorder="1" applyAlignment="1">
      <alignment horizontal="center" wrapText="1"/>
    </xf>
    <xf numFmtId="0" fontId="31" fillId="33" borderId="60" xfId="0" applyFont="1" applyFill="1" applyBorder="1" applyAlignment="1">
      <alignment horizontal="center" wrapText="1"/>
    </xf>
    <xf numFmtId="0" fontId="31" fillId="0" borderId="41" xfId="0" applyFont="1" applyBorder="1" applyAlignment="1">
      <alignment horizontal="center"/>
    </xf>
    <xf numFmtId="0" fontId="31" fillId="0" borderId="12" xfId="0" applyFont="1" applyBorder="1" applyAlignment="1">
      <alignment/>
    </xf>
    <xf numFmtId="3" fontId="31" fillId="0" borderId="13" xfId="0" applyNumberFormat="1" applyFont="1" applyBorder="1" applyAlignment="1">
      <alignment horizontal="center"/>
    </xf>
    <xf numFmtId="3" fontId="31" fillId="0" borderId="1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55" xfId="0" applyFont="1" applyBorder="1" applyAlignment="1">
      <alignment/>
    </xf>
    <xf numFmtId="3" fontId="31" fillId="0" borderId="16" xfId="0" applyNumberFormat="1" applyFont="1" applyBorder="1" applyAlignment="1">
      <alignment horizontal="center"/>
    </xf>
    <xf numFmtId="3" fontId="106" fillId="0" borderId="48" xfId="0" applyNumberFormat="1" applyFont="1" applyBorder="1" applyAlignment="1">
      <alignment horizontal="center" vertical="center"/>
    </xf>
    <xf numFmtId="3" fontId="106" fillId="33" borderId="18" xfId="0" applyNumberFormat="1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wrapText="1"/>
    </xf>
    <xf numFmtId="4" fontId="31" fillId="0" borderId="43" xfId="0" applyNumberFormat="1" applyFont="1" applyFill="1" applyBorder="1" applyAlignment="1">
      <alignment horizontal="center"/>
    </xf>
    <xf numFmtId="3" fontId="31" fillId="0" borderId="41" xfId="0" applyNumberFormat="1" applyFont="1" applyFill="1" applyBorder="1" applyAlignment="1">
      <alignment horizontal="center"/>
    </xf>
    <xf numFmtId="4" fontId="31" fillId="0" borderId="12" xfId="0" applyNumberFormat="1" applyFont="1" applyFill="1" applyBorder="1" applyAlignment="1">
      <alignment horizontal="center"/>
    </xf>
    <xf numFmtId="3" fontId="31" fillId="0" borderId="12" xfId="0" applyNumberFormat="1" applyFont="1" applyFill="1" applyBorder="1" applyAlignment="1">
      <alignment horizontal="center"/>
    </xf>
    <xf numFmtId="4" fontId="31" fillId="0" borderId="55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106" fillId="0" borderId="48" xfId="0" applyNumberFormat="1" applyFont="1" applyFill="1" applyBorder="1" applyAlignment="1">
      <alignment horizontal="center" vertical="center"/>
    </xf>
    <xf numFmtId="197" fontId="106" fillId="33" borderId="18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197" fontId="5" fillId="33" borderId="10" xfId="0" applyNumberFormat="1" applyFont="1" applyFill="1" applyBorder="1" applyAlignment="1">
      <alignment/>
    </xf>
    <xf numFmtId="197" fontId="31" fillId="33" borderId="11" xfId="0" applyNumberFormat="1" applyFont="1" applyFill="1" applyBorder="1" applyAlignment="1">
      <alignment horizontal="right"/>
    </xf>
    <xf numFmtId="197" fontId="31" fillId="33" borderId="15" xfId="0" applyNumberFormat="1" applyFont="1" applyFill="1" applyBorder="1" applyAlignment="1">
      <alignment horizontal="right"/>
    </xf>
    <xf numFmtId="4" fontId="32" fillId="33" borderId="10" xfId="0" applyNumberFormat="1" applyFont="1" applyFill="1" applyBorder="1" applyAlignment="1">
      <alignment/>
    </xf>
    <xf numFmtId="4" fontId="33" fillId="33" borderId="11" xfId="0" applyNumberFormat="1" applyFont="1" applyFill="1" applyBorder="1" applyAlignment="1">
      <alignment horizontal="right"/>
    </xf>
    <xf numFmtId="4" fontId="32" fillId="33" borderId="11" xfId="0" applyNumberFormat="1" applyFont="1" applyFill="1" applyBorder="1" applyAlignment="1">
      <alignment/>
    </xf>
    <xf numFmtId="4" fontId="32" fillId="33" borderId="15" xfId="0" applyNumberFormat="1" applyFont="1" applyFill="1" applyBorder="1" applyAlignment="1">
      <alignment horizontal="right"/>
    </xf>
    <xf numFmtId="3" fontId="104" fillId="0" borderId="60" xfId="0" applyNumberFormat="1" applyFont="1" applyBorder="1" applyAlignment="1">
      <alignment horizontal="center" vertical="center"/>
    </xf>
    <xf numFmtId="4" fontId="32" fillId="37" borderId="10" xfId="0" applyNumberFormat="1" applyFont="1" applyFill="1" applyBorder="1" applyAlignment="1">
      <alignment/>
    </xf>
    <xf numFmtId="4" fontId="33" fillId="37" borderId="11" xfId="0" applyNumberFormat="1" applyFont="1" applyFill="1" applyBorder="1" applyAlignment="1">
      <alignment horizontal="right"/>
    </xf>
    <xf numFmtId="4" fontId="32" fillId="37" borderId="11" xfId="0" applyNumberFormat="1" applyFont="1" applyFill="1" applyBorder="1" applyAlignment="1">
      <alignment/>
    </xf>
    <xf numFmtId="4" fontId="32" fillId="37" borderId="15" xfId="0" applyNumberFormat="1" applyFont="1" applyFill="1" applyBorder="1" applyAlignment="1">
      <alignment horizontal="right"/>
    </xf>
    <xf numFmtId="3" fontId="0" fillId="0" borderId="48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61" xfId="0" applyNumberFormat="1" applyFill="1" applyBorder="1" applyAlignment="1">
      <alignment horizontal="center" vertical="center"/>
    </xf>
    <xf numFmtId="0" fontId="31" fillId="0" borderId="46" xfId="0" applyFont="1" applyBorder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3" fontId="31" fillId="0" borderId="11" xfId="0" applyNumberFormat="1" applyFont="1" applyFill="1" applyBorder="1" applyAlignment="1">
      <alignment horizontal="center"/>
    </xf>
    <xf numFmtId="4" fontId="31" fillId="0" borderId="11" xfId="0" applyNumberFormat="1" applyFont="1" applyFill="1" applyBorder="1" applyAlignment="1">
      <alignment horizontal="center"/>
    </xf>
    <xf numFmtId="198" fontId="5" fillId="0" borderId="45" xfId="0" applyNumberFormat="1" applyFont="1" applyFill="1" applyBorder="1" applyAlignment="1">
      <alignment/>
    </xf>
    <xf numFmtId="198" fontId="5" fillId="0" borderId="49" xfId="0" applyNumberFormat="1" applyFont="1" applyFill="1" applyBorder="1" applyAlignment="1">
      <alignment/>
    </xf>
    <xf numFmtId="0" fontId="95" fillId="33" borderId="36" xfId="0" applyFont="1" applyFill="1" applyBorder="1" applyAlignment="1">
      <alignment horizontal="center" vertical="center" wrapText="1"/>
    </xf>
    <xf numFmtId="0" fontId="95" fillId="33" borderId="14" xfId="0" applyFont="1" applyFill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4" fontId="95" fillId="0" borderId="52" xfId="0" applyNumberFormat="1" applyFont="1" applyBorder="1" applyAlignment="1">
      <alignment horizontal="center"/>
    </xf>
    <xf numFmtId="4" fontId="95" fillId="0" borderId="22" xfId="0" applyNumberFormat="1" applyFont="1" applyBorder="1" applyAlignment="1">
      <alignment horizontal="center"/>
    </xf>
    <xf numFmtId="4" fontId="95" fillId="0" borderId="52" xfId="0" applyNumberFormat="1" applyFont="1" applyFill="1" applyBorder="1" applyAlignment="1">
      <alignment horizontal="center"/>
    </xf>
    <xf numFmtId="4" fontId="95" fillId="0" borderId="53" xfId="0" applyNumberFormat="1" applyFont="1" applyFill="1" applyBorder="1" applyAlignment="1">
      <alignment horizontal="center"/>
    </xf>
    <xf numFmtId="0" fontId="105" fillId="0" borderId="62" xfId="0" applyFont="1" applyFill="1" applyBorder="1" applyAlignment="1">
      <alignment horizontal="left"/>
    </xf>
    <xf numFmtId="0" fontId="95" fillId="0" borderId="46" xfId="0" applyFont="1" applyFill="1" applyBorder="1" applyAlignment="1">
      <alignment horizontal="center"/>
    </xf>
    <xf numFmtId="0" fontId="95" fillId="0" borderId="47" xfId="0" applyFont="1" applyFill="1" applyBorder="1" applyAlignment="1">
      <alignment horizontal="center"/>
    </xf>
    <xf numFmtId="0" fontId="105" fillId="0" borderId="63" xfId="0" applyFont="1" applyFill="1" applyBorder="1" applyAlignment="1">
      <alignment horizontal="center"/>
    </xf>
    <xf numFmtId="4" fontId="95" fillId="37" borderId="13" xfId="0" applyNumberFormat="1" applyFont="1" applyFill="1" applyBorder="1" applyAlignment="1">
      <alignment horizontal="center"/>
    </xf>
    <xf numFmtId="4" fontId="95" fillId="37" borderId="11" xfId="0" applyNumberFormat="1" applyFont="1" applyFill="1" applyBorder="1" applyAlignment="1">
      <alignment horizontal="center"/>
    </xf>
    <xf numFmtId="4" fontId="95" fillId="37" borderId="15" xfId="0" applyNumberFormat="1" applyFont="1" applyFill="1" applyBorder="1" applyAlignment="1">
      <alignment horizontal="center"/>
    </xf>
    <xf numFmtId="4" fontId="95" fillId="37" borderId="22" xfId="0" applyNumberFormat="1" applyFont="1" applyFill="1" applyBorder="1" applyAlignment="1">
      <alignment horizontal="center"/>
    </xf>
    <xf numFmtId="0" fontId="95" fillId="0" borderId="0" xfId="0" applyFont="1" applyFill="1" applyAlignment="1">
      <alignment/>
    </xf>
    <xf numFmtId="197" fontId="104" fillId="36" borderId="25" xfId="0" applyNumberFormat="1" applyFont="1" applyFill="1" applyBorder="1" applyAlignment="1">
      <alignment horizontal="center"/>
    </xf>
    <xf numFmtId="197" fontId="95" fillId="37" borderId="13" xfId="0" applyNumberFormat="1" applyFont="1" applyFill="1" applyBorder="1" applyAlignment="1">
      <alignment horizontal="center"/>
    </xf>
    <xf numFmtId="197" fontId="95" fillId="37" borderId="14" xfId="0" applyNumberFormat="1" applyFont="1" applyFill="1" applyBorder="1" applyAlignment="1">
      <alignment horizontal="center"/>
    </xf>
    <xf numFmtId="197" fontId="105" fillId="0" borderId="48" xfId="0" applyNumberFormat="1" applyFont="1" applyBorder="1" applyAlignment="1">
      <alignment horizontal="center"/>
    </xf>
    <xf numFmtId="4" fontId="104" fillId="0" borderId="10" xfId="0" applyNumberFormat="1" applyFont="1" applyFill="1" applyBorder="1" applyAlignment="1">
      <alignment horizontal="center"/>
    </xf>
    <xf numFmtId="180" fontId="104" fillId="0" borderId="54" xfId="0" applyNumberFormat="1" applyFont="1" applyFill="1" applyBorder="1" applyAlignment="1">
      <alignment horizontal="center"/>
    </xf>
    <xf numFmtId="4" fontId="105" fillId="0" borderId="54" xfId="0" applyNumberFormat="1" applyFont="1" applyFill="1" applyBorder="1" applyAlignment="1">
      <alignment horizontal="center"/>
    </xf>
    <xf numFmtId="0" fontId="95" fillId="0" borderId="15" xfId="0" applyFont="1" applyFill="1" applyBorder="1" applyAlignment="1">
      <alignment horizontal="center" vertical="center" wrapText="1"/>
    </xf>
    <xf numFmtId="4" fontId="95" fillId="0" borderId="11" xfId="0" applyNumberFormat="1" applyFont="1" applyFill="1" applyBorder="1" applyAlignment="1">
      <alignment horizontal="center"/>
    </xf>
    <xf numFmtId="4" fontId="95" fillId="0" borderId="15" xfId="0" applyNumberFormat="1" applyFont="1" applyFill="1" applyBorder="1" applyAlignment="1">
      <alignment horizontal="center"/>
    </xf>
    <xf numFmtId="4" fontId="95" fillId="0" borderId="22" xfId="0" applyNumberFormat="1" applyFont="1" applyFill="1" applyBorder="1" applyAlignment="1">
      <alignment horizontal="center"/>
    </xf>
    <xf numFmtId="4" fontId="105" fillId="0" borderId="17" xfId="0" applyNumberFormat="1" applyFont="1" applyFill="1" applyBorder="1" applyAlignment="1">
      <alignment horizontal="center"/>
    </xf>
    <xf numFmtId="180" fontId="104" fillId="0" borderId="17" xfId="0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5" fillId="0" borderId="0" xfId="0" applyFont="1" applyBorder="1" applyAlignment="1">
      <alignment horizontal="center" vertical="center"/>
    </xf>
    <xf numFmtId="3" fontId="104" fillId="0" borderId="60" xfId="0" applyNumberFormat="1" applyFont="1" applyFill="1" applyBorder="1" applyAlignment="1">
      <alignment horizontal="center" vertical="center"/>
    </xf>
    <xf numFmtId="4" fontId="95" fillId="0" borderId="0" xfId="0" applyNumberFormat="1" applyFont="1" applyAlignment="1">
      <alignment/>
    </xf>
    <xf numFmtId="0" fontId="31" fillId="0" borderId="11" xfId="0" applyFont="1" applyBorder="1" applyAlignment="1">
      <alignment horizontal="center" vertical="center"/>
    </xf>
    <xf numFmtId="0" fontId="31" fillId="0" borderId="43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4" fontId="28" fillId="0" borderId="0" xfId="0" applyNumberFormat="1" applyFont="1" applyAlignment="1">
      <alignment/>
    </xf>
    <xf numFmtId="4" fontId="31" fillId="0" borderId="11" xfId="0" applyNumberFormat="1" applyFont="1" applyBorder="1" applyAlignment="1">
      <alignment/>
    </xf>
    <xf numFmtId="4" fontId="31" fillId="0" borderId="56" xfId="0" applyNumberFormat="1" applyFont="1" applyBorder="1" applyAlignment="1">
      <alignment/>
    </xf>
    <xf numFmtId="4" fontId="31" fillId="0" borderId="42" xfId="0" applyNumberFormat="1" applyFont="1" applyBorder="1" applyAlignment="1">
      <alignment/>
    </xf>
    <xf numFmtId="4" fontId="31" fillId="0" borderId="11" xfId="0" applyNumberFormat="1" applyFont="1" applyFill="1" applyBorder="1" applyAlignment="1">
      <alignment vertical="top" wrapText="1"/>
    </xf>
    <xf numFmtId="0" fontId="31" fillId="37" borderId="11" xfId="0" applyFont="1" applyFill="1" applyBorder="1" applyAlignment="1">
      <alignment/>
    </xf>
    <xf numFmtId="4" fontId="31" fillId="37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" fontId="5" fillId="37" borderId="11" xfId="0" applyNumberFormat="1" applyFont="1" applyFill="1" applyBorder="1" applyAlignment="1">
      <alignment/>
    </xf>
    <xf numFmtId="0" fontId="0" fillId="0" borderId="0" xfId="55" applyFont="1" applyFill="1" applyBorder="1" applyAlignment="1" applyProtection="1">
      <alignment/>
      <protection hidden="1"/>
    </xf>
    <xf numFmtId="0" fontId="0" fillId="0" borderId="0" xfId="55" applyFont="1" applyFill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21" fillId="0" borderId="0" xfId="55" applyFont="1" applyFill="1" applyBorder="1" applyAlignment="1" applyProtection="1">
      <alignment horizontal="right"/>
      <protection hidden="1"/>
    </xf>
    <xf numFmtId="14" fontId="8" fillId="0" borderId="0" xfId="55" applyNumberFormat="1" applyFont="1" applyFill="1" applyBorder="1" applyAlignment="1" applyProtection="1">
      <alignment horizontal="center" vertical="center"/>
      <protection hidden="1"/>
    </xf>
    <xf numFmtId="0" fontId="28" fillId="0" borderId="0" xfId="55" applyFont="1" applyFill="1" applyBorder="1" applyAlignment="1">
      <alignment horizontal="center" vertical="center"/>
      <protection/>
    </xf>
    <xf numFmtId="0" fontId="28" fillId="0" borderId="0" xfId="55" applyFont="1" applyFill="1" applyAlignment="1" applyProtection="1">
      <alignment horizontal="center"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4" fontId="28" fillId="0" borderId="0" xfId="55" applyNumberFormat="1" applyFont="1" applyFill="1" applyAlignment="1" applyProtection="1">
      <alignment horizontal="center" vertical="center"/>
      <protection hidden="1"/>
    </xf>
    <xf numFmtId="9" fontId="28" fillId="0" borderId="0" xfId="55" applyNumberFormat="1" applyFont="1" applyFill="1" applyAlignment="1" applyProtection="1">
      <alignment horizontal="center" vertical="center"/>
      <protection hidden="1"/>
    </xf>
    <xf numFmtId="2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215" fontId="38" fillId="0" borderId="0" xfId="55" applyNumberFormat="1" applyFont="1" applyFill="1" applyBorder="1" applyAlignment="1" applyProtection="1">
      <alignment horizontal="center" vertical="center"/>
      <protection hidden="1"/>
    </xf>
    <xf numFmtId="4" fontId="28" fillId="0" borderId="0" xfId="55" applyNumberFormat="1" applyFont="1" applyFill="1" applyBorder="1" applyAlignment="1" applyProtection="1">
      <alignment horizontal="center" vertical="center"/>
      <protection hidden="1"/>
    </xf>
    <xf numFmtId="180" fontId="38" fillId="0" borderId="0" xfId="55" applyNumberFormat="1" applyFont="1" applyFill="1" applyBorder="1" applyAlignment="1" applyProtection="1">
      <alignment horizontal="center" vertical="center"/>
      <protection hidden="1"/>
    </xf>
    <xf numFmtId="214" fontId="28" fillId="0" borderId="0" xfId="55" applyNumberFormat="1" applyFont="1" applyFill="1" applyBorder="1" applyAlignment="1" applyProtection="1">
      <alignment horizontal="center" vertical="center"/>
      <protection hidden="1"/>
    </xf>
    <xf numFmtId="197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2" fontId="28" fillId="0" borderId="0" xfId="55" applyNumberFormat="1" applyFont="1" applyFill="1" applyBorder="1" applyAlignment="1" applyProtection="1">
      <alignment horizontal="center" vertical="center"/>
      <protection hidden="1"/>
    </xf>
    <xf numFmtId="4" fontId="38" fillId="0" borderId="0" xfId="55" applyNumberFormat="1" applyFont="1" applyFill="1" applyBorder="1" applyAlignment="1" applyProtection="1">
      <alignment horizontal="center" vertical="center"/>
      <protection hidden="1"/>
    </xf>
    <xf numFmtId="2" fontId="38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55" applyFont="1" applyFill="1" applyBorder="1" applyAlignment="1" applyProtection="1">
      <alignment horizontal="center" vertical="center"/>
      <protection hidden="1" locked="0"/>
    </xf>
    <xf numFmtId="216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215" fontId="38" fillId="0" borderId="0" xfId="55" applyNumberFormat="1" applyFont="1" applyFill="1" applyBorder="1" applyAlignment="1" applyProtection="1">
      <alignment horizontal="center" vertical="center"/>
      <protection hidden="1" locked="0"/>
    </xf>
    <xf numFmtId="1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1" fontId="28" fillId="0" borderId="0" xfId="55" applyNumberFormat="1" applyFont="1" applyFill="1" applyBorder="1" applyAlignment="1" applyProtection="1">
      <alignment horizontal="center" vertical="center"/>
      <protection hidden="1"/>
    </xf>
    <xf numFmtId="214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180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39" fillId="0" borderId="0" xfId="55" applyFont="1" applyFill="1" applyBorder="1" applyAlignment="1" applyProtection="1">
      <alignment horizontal="center" vertical="center" wrapText="1"/>
      <protection hidden="1"/>
    </xf>
    <xf numFmtId="4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28" fillId="0" borderId="0" xfId="55" applyNumberFormat="1" applyFont="1" applyFill="1" applyBorder="1" applyAlignment="1" applyProtection="1">
      <alignment horizontal="center" vertical="center"/>
      <protection locked="0"/>
    </xf>
    <xf numFmtId="188" fontId="38" fillId="0" borderId="0" xfId="55" applyNumberFormat="1" applyFont="1" applyFill="1" applyBorder="1" applyAlignment="1" applyProtection="1">
      <alignment horizontal="center" vertical="center"/>
      <protection hidden="1" locked="0"/>
    </xf>
    <xf numFmtId="9" fontId="38" fillId="0" borderId="0" xfId="55" applyNumberFormat="1" applyFont="1" applyFill="1" applyBorder="1" applyAlignment="1" applyProtection="1">
      <alignment horizontal="center" vertical="center"/>
      <protection hidden="1" locked="0"/>
    </xf>
    <xf numFmtId="49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1" fontId="108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108" fillId="0" borderId="0" xfId="55" applyNumberFormat="1" applyFont="1" applyFill="1" applyBorder="1" applyAlignment="1" applyProtection="1">
      <alignment horizontal="center" vertical="center"/>
      <protection hidden="1" locked="0"/>
    </xf>
    <xf numFmtId="49" fontId="38" fillId="0" borderId="0" xfId="55" applyNumberFormat="1" applyFont="1" applyFill="1" applyBorder="1" applyAlignment="1" applyProtection="1">
      <alignment horizontal="center" vertical="center"/>
      <protection hidden="1" locked="0"/>
    </xf>
    <xf numFmtId="197" fontId="28" fillId="0" borderId="0" xfId="55" applyNumberFormat="1" applyFont="1" applyFill="1" applyBorder="1" applyAlignment="1">
      <alignment horizontal="center" vertical="center" wrapText="1"/>
      <protection/>
    </xf>
    <xf numFmtId="215" fontId="28" fillId="0" borderId="0" xfId="55" applyNumberFormat="1" applyFont="1" applyFill="1" applyBorder="1" applyAlignment="1" applyProtection="1">
      <alignment horizontal="center" vertical="center"/>
      <protection hidden="1"/>
    </xf>
    <xf numFmtId="182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215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14" fontId="8" fillId="0" borderId="0" xfId="55" applyNumberFormat="1" applyFont="1" applyFill="1" applyAlignment="1" applyProtection="1">
      <alignment horizontal="center" vertical="center"/>
      <protection hidden="1"/>
    </xf>
    <xf numFmtId="198" fontId="10" fillId="0" borderId="11" xfId="55" applyNumberFormat="1" applyFont="1" applyFill="1" applyBorder="1" applyAlignment="1" applyProtection="1">
      <alignment horizontal="center"/>
      <protection hidden="1" locked="0"/>
    </xf>
    <xf numFmtId="0" fontId="31" fillId="33" borderId="64" xfId="0" applyFont="1" applyFill="1" applyBorder="1" applyAlignment="1">
      <alignment horizont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/>
    </xf>
    <xf numFmtId="0" fontId="31" fillId="0" borderId="47" xfId="0" applyFont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wrapText="1"/>
    </xf>
    <xf numFmtId="3" fontId="0" fillId="0" borderId="13" xfId="0" applyNumberFormat="1" applyBorder="1" applyAlignment="1">
      <alignment horizontal="center"/>
    </xf>
    <xf numFmtId="3" fontId="31" fillId="0" borderId="14" xfId="0" applyNumberFormat="1" applyFont="1" applyBorder="1" applyAlignment="1">
      <alignment horizontal="center"/>
    </xf>
    <xf numFmtId="4" fontId="31" fillId="0" borderId="34" xfId="0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4" fontId="28" fillId="0" borderId="0" xfId="55" applyNumberFormat="1" applyFont="1" applyFill="1" applyBorder="1" applyAlignment="1" applyProtection="1">
      <alignment horizontal="left" vertical="center"/>
      <protection hidden="1" locked="0"/>
    </xf>
    <xf numFmtId="2" fontId="40" fillId="0" borderId="0" xfId="55" applyNumberFormat="1" applyFont="1" applyFill="1" applyBorder="1" applyAlignment="1" applyProtection="1">
      <alignment horizontal="left" vertical="center"/>
      <protection hidden="1" locked="0"/>
    </xf>
    <xf numFmtId="198" fontId="28" fillId="0" borderId="0" xfId="55" applyNumberFormat="1" applyFont="1" applyFill="1" applyAlignment="1" applyProtection="1">
      <alignment horizontal="center" vertical="center"/>
      <protection hidden="1"/>
    </xf>
    <xf numFmtId="4" fontId="10" fillId="0" borderId="0" xfId="55" applyNumberFormat="1" applyFont="1" applyFill="1" applyBorder="1" applyAlignment="1" applyProtection="1">
      <alignment horizontal="right"/>
      <protection hidden="1" locked="0"/>
    </xf>
    <xf numFmtId="4" fontId="0" fillId="0" borderId="0" xfId="66" applyNumberFormat="1" applyFont="1" applyFill="1" applyAlignment="1" applyProtection="1">
      <alignment/>
      <protection hidden="1"/>
    </xf>
    <xf numFmtId="197" fontId="21" fillId="0" borderId="11" xfId="55" applyNumberFormat="1" applyFont="1" applyFill="1" applyBorder="1" applyAlignment="1" applyProtection="1">
      <alignment horizontal="right"/>
      <protection hidden="1" locked="0"/>
    </xf>
    <xf numFmtId="4" fontId="0" fillId="0" borderId="12" xfId="55" applyNumberFormat="1" applyFont="1" applyFill="1" applyBorder="1" applyProtection="1">
      <alignment/>
      <protection hidden="1"/>
    </xf>
    <xf numFmtId="0" fontId="4" fillId="0" borderId="0" xfId="55" applyFont="1" applyFill="1" applyBorder="1" applyAlignment="1">
      <alignment wrapText="1"/>
      <protection/>
    </xf>
    <xf numFmtId="3" fontId="104" fillId="0" borderId="6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 horizontal="right"/>
    </xf>
    <xf numFmtId="4" fontId="33" fillId="0" borderId="11" xfId="0" applyNumberFormat="1" applyFont="1" applyFill="1" applyBorder="1" applyAlignment="1">
      <alignment horizontal="right"/>
    </xf>
    <xf numFmtId="4" fontId="32" fillId="0" borderId="11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4" fontId="32" fillId="0" borderId="15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197" fontId="5" fillId="0" borderId="10" xfId="0" applyNumberFormat="1" applyFont="1" applyFill="1" applyBorder="1" applyAlignment="1">
      <alignment/>
    </xf>
    <xf numFmtId="197" fontId="31" fillId="0" borderId="11" xfId="0" applyNumberFormat="1" applyFont="1" applyFill="1" applyBorder="1" applyAlignment="1">
      <alignment horizontal="right"/>
    </xf>
    <xf numFmtId="197" fontId="5" fillId="33" borderId="10" xfId="0" applyNumberFormat="1" applyFont="1" applyFill="1" applyBorder="1" applyAlignment="1">
      <alignment horizontal="right"/>
    </xf>
    <xf numFmtId="197" fontId="5" fillId="33" borderId="1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0" fillId="0" borderId="2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65" xfId="0" applyNumberFormat="1" applyBorder="1" applyAlignment="1">
      <alignment horizontal="center" vertical="center" wrapText="1"/>
    </xf>
    <xf numFmtId="4" fontId="0" fillId="0" borderId="66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30" xfId="0" applyNumberFormat="1" applyFill="1" applyBorder="1" applyAlignment="1">
      <alignment/>
    </xf>
    <xf numFmtId="4" fontId="109" fillId="35" borderId="31" xfId="0" applyNumberFormat="1" applyFont="1" applyFill="1" applyBorder="1" applyAlignment="1">
      <alignment/>
    </xf>
    <xf numFmtId="4" fontId="109" fillId="35" borderId="10" xfId="0" applyNumberFormat="1" applyFont="1" applyFill="1" applyBorder="1" applyAlignment="1">
      <alignment/>
    </xf>
    <xf numFmtId="4" fontId="109" fillId="35" borderId="30" xfId="0" applyNumberFormat="1" applyFont="1" applyFill="1" applyBorder="1" applyAlignment="1">
      <alignment/>
    </xf>
    <xf numFmtId="0" fontId="109" fillId="35" borderId="0" xfId="0" applyFont="1" applyFill="1" applyAlignment="1">
      <alignment/>
    </xf>
    <xf numFmtId="0" fontId="7" fillId="0" borderId="56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52" xfId="0" applyFont="1" applyBorder="1" applyAlignment="1">
      <alignment/>
    </xf>
    <xf numFmtId="4" fontId="7" fillId="0" borderId="60" xfId="0" applyNumberFormat="1" applyFont="1" applyBorder="1" applyAlignment="1">
      <alignment/>
    </xf>
    <xf numFmtId="197" fontId="95" fillId="0" borderId="13" xfId="0" applyNumberFormat="1" applyFont="1" applyFill="1" applyBorder="1" applyAlignment="1">
      <alignment horizontal="center"/>
    </xf>
    <xf numFmtId="197" fontId="95" fillId="0" borderId="14" xfId="0" applyNumberFormat="1" applyFont="1" applyFill="1" applyBorder="1" applyAlignment="1">
      <alignment horizontal="center"/>
    </xf>
    <xf numFmtId="197" fontId="95" fillId="0" borderId="52" xfId="0" applyNumberFormat="1" applyFont="1" applyFill="1" applyBorder="1" applyAlignment="1">
      <alignment horizontal="center"/>
    </xf>
    <xf numFmtId="197" fontId="104" fillId="36" borderId="48" xfId="0" applyNumberFormat="1" applyFont="1" applyFill="1" applyBorder="1" applyAlignment="1">
      <alignment horizontal="center"/>
    </xf>
    <xf numFmtId="4" fontId="95" fillId="0" borderId="67" xfId="0" applyNumberFormat="1" applyFont="1" applyFill="1" applyBorder="1" applyAlignment="1">
      <alignment horizontal="center"/>
    </xf>
    <xf numFmtId="4" fontId="95" fillId="0" borderId="68" xfId="0" applyNumberFormat="1" applyFont="1" applyFill="1" applyBorder="1" applyAlignment="1">
      <alignment horizontal="center"/>
    </xf>
    <xf numFmtId="4" fontId="95" fillId="0" borderId="54" xfId="0" applyNumberFormat="1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center" vertical="center"/>
    </xf>
    <xf numFmtId="4" fontId="104" fillId="0" borderId="35" xfId="0" applyNumberFormat="1" applyFont="1" applyFill="1" applyBorder="1" applyAlignment="1">
      <alignment horizontal="center"/>
    </xf>
    <xf numFmtId="4" fontId="104" fillId="37" borderId="11" xfId="0" applyNumberFormat="1" applyFont="1" applyFill="1" applyBorder="1" applyAlignment="1">
      <alignment horizontal="center"/>
    </xf>
    <xf numFmtId="4" fontId="104" fillId="36" borderId="22" xfId="0" applyNumberFormat="1" applyFont="1" applyFill="1" applyBorder="1" applyAlignment="1">
      <alignment horizontal="center"/>
    </xf>
    <xf numFmtId="197" fontId="95" fillId="37" borderId="16" xfId="0" applyNumberFormat="1" applyFont="1" applyFill="1" applyBorder="1" applyAlignment="1">
      <alignment horizontal="center"/>
    </xf>
    <xf numFmtId="197" fontId="95" fillId="37" borderId="48" xfId="0" applyNumberFormat="1" applyFont="1" applyFill="1" applyBorder="1" applyAlignment="1">
      <alignment horizontal="center"/>
    </xf>
    <xf numFmtId="197" fontId="95" fillId="37" borderId="41" xfId="0" applyNumberFormat="1" applyFont="1" applyFill="1" applyBorder="1" applyAlignment="1">
      <alignment horizontal="center"/>
    </xf>
    <xf numFmtId="4" fontId="105" fillId="37" borderId="48" xfId="0" applyNumberFormat="1" applyFont="1" applyFill="1" applyBorder="1" applyAlignment="1">
      <alignment horizontal="center"/>
    </xf>
    <xf numFmtId="4" fontId="95" fillId="37" borderId="56" xfId="0" applyNumberFormat="1" applyFont="1" applyFill="1" applyBorder="1" applyAlignment="1">
      <alignment horizontal="center"/>
    </xf>
    <xf numFmtId="4" fontId="95" fillId="37" borderId="17" xfId="0" applyNumberFormat="1" applyFont="1" applyFill="1" applyBorder="1" applyAlignment="1">
      <alignment horizontal="center"/>
    </xf>
    <xf numFmtId="4" fontId="95" fillId="37" borderId="42" xfId="0" applyNumberFormat="1" applyFont="1" applyFill="1" applyBorder="1" applyAlignment="1">
      <alignment horizontal="center"/>
    </xf>
    <xf numFmtId="4" fontId="105" fillId="37" borderId="17" xfId="0" applyNumberFormat="1" applyFont="1" applyFill="1" applyBorder="1" applyAlignment="1">
      <alignment horizontal="center"/>
    </xf>
    <xf numFmtId="4" fontId="104" fillId="37" borderId="13" xfId="0" applyNumberFormat="1" applyFont="1" applyFill="1" applyBorder="1" applyAlignment="1">
      <alignment horizontal="center"/>
    </xf>
    <xf numFmtId="4" fontId="104" fillId="37" borderId="22" xfId="0" applyNumberFormat="1" applyFont="1" applyFill="1" applyBorder="1" applyAlignment="1">
      <alignment horizontal="center"/>
    </xf>
    <xf numFmtId="4" fontId="109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09" fillId="0" borderId="11" xfId="0" applyFont="1" applyFill="1" applyBorder="1" applyAlignment="1">
      <alignment horizontal="center" vertical="center" wrapText="1"/>
    </xf>
    <xf numFmtId="4" fontId="110" fillId="0" borderId="0" xfId="0" applyNumberFormat="1" applyFont="1" applyBorder="1" applyAlignment="1">
      <alignment/>
    </xf>
    <xf numFmtId="3" fontId="31" fillId="37" borderId="11" xfId="0" applyNumberFormat="1" applyFont="1" applyFill="1" applyBorder="1" applyAlignment="1">
      <alignment horizontal="center"/>
    </xf>
    <xf numFmtId="4" fontId="31" fillId="37" borderId="11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04" fillId="0" borderId="0" xfId="53" applyFont="1">
      <alignment/>
      <protection/>
    </xf>
    <xf numFmtId="0" fontId="104" fillId="0" borderId="15" xfId="53" applyFont="1" applyFill="1" applyBorder="1" applyAlignment="1">
      <alignment horizontal="center" vertical="center" wrapText="1"/>
      <protection/>
    </xf>
    <xf numFmtId="0" fontId="104" fillId="0" borderId="34" xfId="53" applyFont="1" applyFill="1" applyBorder="1" applyAlignment="1">
      <alignment horizontal="center" vertical="center" wrapText="1"/>
      <protection/>
    </xf>
    <xf numFmtId="0" fontId="104" fillId="0" borderId="26" xfId="53" applyFont="1" applyFill="1" applyBorder="1" applyAlignment="1">
      <alignment vertical="top" wrapText="1"/>
      <protection/>
    </xf>
    <xf numFmtId="0" fontId="104" fillId="0" borderId="69" xfId="53" applyFont="1" applyFill="1" applyBorder="1" applyAlignment="1">
      <alignment vertical="top" wrapText="1"/>
      <protection/>
    </xf>
    <xf numFmtId="0" fontId="106" fillId="0" borderId="45" xfId="53" applyFont="1" applyFill="1" applyBorder="1" applyAlignment="1">
      <alignment vertical="top" wrapText="1"/>
      <protection/>
    </xf>
    <xf numFmtId="3" fontId="111" fillId="0" borderId="48" xfId="53" applyNumberFormat="1" applyFont="1" applyFill="1" applyBorder="1" applyAlignment="1">
      <alignment horizontal="center" vertical="top" wrapText="1"/>
      <protection/>
    </xf>
    <xf numFmtId="3" fontId="111" fillId="0" borderId="17" xfId="53" applyNumberFormat="1" applyFont="1" applyFill="1" applyBorder="1" applyAlignment="1">
      <alignment horizontal="center" vertical="top" wrapText="1"/>
      <protection/>
    </xf>
    <xf numFmtId="3" fontId="111" fillId="0" borderId="18" xfId="53" applyNumberFormat="1" applyFont="1" applyFill="1" applyBorder="1" applyAlignment="1">
      <alignment horizontal="center" vertical="top" wrapText="1"/>
      <protection/>
    </xf>
    <xf numFmtId="3" fontId="112" fillId="0" borderId="0" xfId="53" applyNumberFormat="1" applyFont="1" applyBorder="1" applyAlignment="1">
      <alignment vertical="center" wrapText="1"/>
      <protection/>
    </xf>
    <xf numFmtId="0" fontId="95" fillId="0" borderId="0" xfId="53">
      <alignment/>
      <protection/>
    </xf>
    <xf numFmtId="0" fontId="95" fillId="0" borderId="70" xfId="53" applyBorder="1">
      <alignment/>
      <protection/>
    </xf>
    <xf numFmtId="0" fontId="104" fillId="0" borderId="37" xfId="53" applyFont="1" applyBorder="1" applyAlignment="1">
      <alignment horizontal="center" vertical="center" wrapText="1"/>
      <protection/>
    </xf>
    <xf numFmtId="0" fontId="104" fillId="0" borderId="38" xfId="53" applyFont="1" applyBorder="1" applyAlignment="1">
      <alignment horizontal="center" vertical="center" wrapText="1"/>
      <protection/>
    </xf>
    <xf numFmtId="0" fontId="104" fillId="0" borderId="39" xfId="53" applyFont="1" applyBorder="1" applyAlignment="1">
      <alignment horizontal="center" vertical="center" wrapText="1"/>
      <protection/>
    </xf>
    <xf numFmtId="3" fontId="112" fillId="0" borderId="0" xfId="53" applyNumberFormat="1" applyFont="1" applyBorder="1" applyAlignment="1">
      <alignment horizontal="center" vertical="center" wrapText="1"/>
      <protection/>
    </xf>
    <xf numFmtId="0" fontId="104" fillId="0" borderId="24" xfId="53" applyFont="1" applyFill="1" applyBorder="1" applyAlignment="1">
      <alignment vertical="top" wrapText="1"/>
      <protection/>
    </xf>
    <xf numFmtId="3" fontId="105" fillId="0" borderId="48" xfId="53" applyNumberFormat="1" applyFont="1" applyBorder="1" applyAlignment="1">
      <alignment horizontal="center"/>
      <protection/>
    </xf>
    <xf numFmtId="3" fontId="105" fillId="0" borderId="49" xfId="53" applyNumberFormat="1" applyFont="1" applyBorder="1" applyAlignment="1">
      <alignment horizontal="center"/>
      <protection/>
    </xf>
    <xf numFmtId="0" fontId="104" fillId="0" borderId="45" xfId="53" applyFont="1" applyBorder="1" applyAlignment="1">
      <alignment horizontal="center" vertical="center"/>
      <protection/>
    </xf>
    <xf numFmtId="0" fontId="104" fillId="0" borderId="48" xfId="53" applyFont="1" applyBorder="1" applyAlignment="1">
      <alignment horizontal="center" vertical="center" wrapText="1"/>
      <protection/>
    </xf>
    <xf numFmtId="0" fontId="104" fillId="0" borderId="17" xfId="53" applyFont="1" applyBorder="1" applyAlignment="1">
      <alignment horizontal="center" vertical="center" wrapText="1"/>
      <protection/>
    </xf>
    <xf numFmtId="0" fontId="104" fillId="0" borderId="18" xfId="53" applyFont="1" applyBorder="1" applyAlignment="1">
      <alignment horizontal="center" vertical="center" wrapText="1"/>
      <protection/>
    </xf>
    <xf numFmtId="0" fontId="104" fillId="0" borderId="29" xfId="53" applyFont="1" applyFill="1" applyBorder="1" applyAlignment="1">
      <alignment vertical="top" wrapText="1"/>
      <protection/>
    </xf>
    <xf numFmtId="0" fontId="104" fillId="0" borderId="41" xfId="53" applyFont="1" applyBorder="1" applyAlignment="1">
      <alignment horizontal="center" vertical="center"/>
      <protection/>
    </xf>
    <xf numFmtId="0" fontId="104" fillId="0" borderId="42" xfId="53" applyFont="1" applyBorder="1" applyAlignment="1">
      <alignment horizontal="center" vertical="center"/>
      <protection/>
    </xf>
    <xf numFmtId="0" fontId="104" fillId="0" borderId="13" xfId="53" applyFont="1" applyBorder="1" applyAlignment="1">
      <alignment horizontal="center" vertical="center"/>
      <protection/>
    </xf>
    <xf numFmtId="0" fontId="104" fillId="0" borderId="11" xfId="53" applyFont="1" applyBorder="1" applyAlignment="1">
      <alignment horizontal="center" vertical="center"/>
      <protection/>
    </xf>
    <xf numFmtId="0" fontId="104" fillId="0" borderId="16" xfId="53" applyFont="1" applyBorder="1" applyAlignment="1">
      <alignment horizontal="center" vertical="center"/>
      <protection/>
    </xf>
    <xf numFmtId="0" fontId="104" fillId="0" borderId="56" xfId="53" applyFont="1" applyBorder="1" applyAlignment="1">
      <alignment horizontal="center" vertical="center"/>
      <protection/>
    </xf>
    <xf numFmtId="0" fontId="106" fillId="0" borderId="48" xfId="53" applyFont="1" applyBorder="1" applyAlignment="1">
      <alignment horizontal="center" vertical="center"/>
      <protection/>
    </xf>
    <xf numFmtId="0" fontId="106" fillId="0" borderId="17" xfId="53" applyFont="1" applyBorder="1" applyAlignment="1">
      <alignment horizontal="center" vertical="center"/>
      <protection/>
    </xf>
    <xf numFmtId="0" fontId="113" fillId="0" borderId="0" xfId="53" applyFont="1">
      <alignment/>
      <protection/>
    </xf>
    <xf numFmtId="0" fontId="104" fillId="0" borderId="49" xfId="53" applyFont="1" applyBorder="1">
      <alignment/>
      <protection/>
    </xf>
    <xf numFmtId="0" fontId="106" fillId="0" borderId="13" xfId="53" applyFont="1" applyBorder="1">
      <alignment/>
      <protection/>
    </xf>
    <xf numFmtId="4" fontId="106" fillId="0" borderId="11" xfId="53" applyNumberFormat="1" applyFont="1" applyBorder="1">
      <alignment/>
      <protection/>
    </xf>
    <xf numFmtId="4" fontId="106" fillId="0" borderId="12" xfId="53" applyNumberFormat="1" applyFont="1" applyBorder="1">
      <alignment/>
      <protection/>
    </xf>
    <xf numFmtId="0" fontId="104" fillId="0" borderId="13" xfId="53" applyFont="1" applyBorder="1">
      <alignment/>
      <protection/>
    </xf>
    <xf numFmtId="4" fontId="104" fillId="0" borderId="11" xfId="53" applyNumberFormat="1" applyFont="1" applyBorder="1">
      <alignment/>
      <protection/>
    </xf>
    <xf numFmtId="4" fontId="104" fillId="0" borderId="12" xfId="53" applyNumberFormat="1" applyFont="1" applyBorder="1">
      <alignment/>
      <protection/>
    </xf>
    <xf numFmtId="0" fontId="106" fillId="0" borderId="14" xfId="53" applyFont="1" applyBorder="1">
      <alignment/>
      <protection/>
    </xf>
    <xf numFmtId="4" fontId="106" fillId="0" borderId="15" xfId="53" applyNumberFormat="1" applyFont="1" applyBorder="1">
      <alignment/>
      <protection/>
    </xf>
    <xf numFmtId="4" fontId="106" fillId="0" borderId="34" xfId="53" applyNumberFormat="1" applyFont="1" applyBorder="1">
      <alignment/>
      <protection/>
    </xf>
    <xf numFmtId="0" fontId="106" fillId="0" borderId="48" xfId="53" applyFont="1" applyBorder="1">
      <alignment/>
      <protection/>
    </xf>
    <xf numFmtId="4" fontId="106" fillId="0" borderId="17" xfId="53" applyNumberFormat="1" applyFont="1" applyBorder="1">
      <alignment/>
      <protection/>
    </xf>
    <xf numFmtId="3" fontId="114" fillId="0" borderId="25" xfId="53" applyNumberFormat="1" applyFont="1" applyFill="1" applyBorder="1" applyAlignment="1">
      <alignment horizontal="center" vertical="center" wrapText="1"/>
      <protection/>
    </xf>
    <xf numFmtId="3" fontId="105" fillId="0" borderId="48" xfId="53" applyNumberFormat="1" applyFont="1" applyFill="1" applyBorder="1" applyAlignment="1">
      <alignment horizontal="center"/>
      <protection/>
    </xf>
    <xf numFmtId="2" fontId="11" fillId="0" borderId="11" xfId="55" applyNumberFormat="1" applyFont="1" applyFill="1" applyBorder="1" applyAlignment="1" applyProtection="1">
      <alignment vertical="center"/>
      <protection hidden="1"/>
    </xf>
    <xf numFmtId="0" fontId="15" fillId="0" borderId="13" xfId="55" applyFont="1" applyFill="1" applyBorder="1" applyAlignment="1" applyProtection="1">
      <alignment horizontal="left" vertical="center" wrapText="1"/>
      <protection/>
    </xf>
    <xf numFmtId="2" fontId="10" fillId="0" borderId="11" xfId="55" applyNumberFormat="1" applyFont="1" applyFill="1" applyBorder="1" applyAlignment="1" applyProtection="1">
      <alignment horizontal="right" vertical="center"/>
      <protection hidden="1" locked="0"/>
    </xf>
    <xf numFmtId="2" fontId="10" fillId="0" borderId="11" xfId="55" applyNumberFormat="1" applyFont="1" applyFill="1" applyBorder="1" applyAlignment="1" applyProtection="1">
      <alignment vertical="center"/>
      <protection hidden="1" locked="0"/>
    </xf>
    <xf numFmtId="0" fontId="15" fillId="0" borderId="13" xfId="55" applyFont="1" applyFill="1" applyBorder="1" applyAlignment="1" applyProtection="1">
      <alignment vertical="center" wrapText="1"/>
      <protection/>
    </xf>
    <xf numFmtId="2" fontId="15" fillId="0" borderId="11" xfId="55" applyNumberFormat="1" applyFont="1" applyFill="1" applyBorder="1" applyAlignment="1" applyProtection="1">
      <alignment vertical="center"/>
      <protection hidden="1" locked="0"/>
    </xf>
    <xf numFmtId="215" fontId="11" fillId="0" borderId="11" xfId="55" applyNumberFormat="1" applyFont="1" applyFill="1" applyBorder="1" applyAlignment="1" applyProtection="1">
      <alignment horizontal="right" vertical="center"/>
      <protection hidden="1" locked="0"/>
    </xf>
    <xf numFmtId="2" fontId="11" fillId="0" borderId="11" xfId="55" applyNumberFormat="1" applyFont="1" applyFill="1" applyBorder="1" applyAlignment="1" applyProtection="1">
      <alignment vertical="center"/>
      <protection hidden="1" locked="0"/>
    </xf>
    <xf numFmtId="215" fontId="11" fillId="0" borderId="11" xfId="55" applyNumberFormat="1" applyFont="1" applyFill="1" applyBorder="1" applyAlignment="1" applyProtection="1">
      <alignment horizontal="center" vertical="center"/>
      <protection hidden="1"/>
    </xf>
    <xf numFmtId="4" fontId="104" fillId="0" borderId="0" xfId="53" applyNumberFormat="1" applyFont="1">
      <alignment/>
      <protection/>
    </xf>
    <xf numFmtId="191" fontId="0" fillId="0" borderId="0" xfId="55" applyNumberFormat="1" applyFont="1" applyFill="1" applyProtection="1">
      <alignment/>
      <protection hidden="1"/>
    </xf>
    <xf numFmtId="225" fontId="20" fillId="0" borderId="0" xfId="55" applyNumberFormat="1" applyFont="1" applyFill="1" applyBorder="1" applyAlignment="1">
      <alignment horizontal="right" wrapText="1"/>
      <protection/>
    </xf>
    <xf numFmtId="2" fontId="10" fillId="0" borderId="0" xfId="55" applyNumberFormat="1" applyFont="1" applyFill="1" applyBorder="1" applyAlignment="1" applyProtection="1">
      <alignment horizontal="center"/>
      <protection hidden="1"/>
    </xf>
    <xf numFmtId="180" fontId="11" fillId="0" borderId="11" xfId="55" applyNumberFormat="1" applyFont="1" applyFill="1" applyBorder="1" applyAlignment="1" applyProtection="1">
      <alignment vertical="center"/>
      <protection hidden="1"/>
    </xf>
    <xf numFmtId="214" fontId="11" fillId="0" borderId="11" xfId="55" applyNumberFormat="1" applyFont="1" applyFill="1" applyBorder="1" applyAlignment="1" applyProtection="1">
      <alignment horizontal="right" vertical="center"/>
      <protection hidden="1"/>
    </xf>
    <xf numFmtId="215" fontId="11" fillId="0" borderId="11" xfId="55" applyNumberFormat="1" applyFont="1" applyFill="1" applyBorder="1" applyAlignment="1" applyProtection="1">
      <alignment horizontal="right" vertical="center"/>
      <protection hidden="1" locked="0"/>
    </xf>
    <xf numFmtId="0" fontId="28" fillId="0" borderId="0" xfId="0" applyFont="1" applyFill="1" applyAlignment="1">
      <alignment/>
    </xf>
    <xf numFmtId="3" fontId="104" fillId="0" borderId="60" xfId="0" applyNumberFormat="1" applyFont="1" applyFill="1" applyBorder="1" applyAlignment="1">
      <alignment horizontal="center" vertical="center"/>
    </xf>
    <xf numFmtId="3" fontId="104" fillId="0" borderId="60" xfId="0" applyNumberFormat="1" applyFont="1" applyBorder="1" applyAlignment="1">
      <alignment horizontal="center" vertical="center"/>
    </xf>
    <xf numFmtId="0" fontId="20" fillId="33" borderId="13" xfId="0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right"/>
    </xf>
    <xf numFmtId="197" fontId="5" fillId="37" borderId="10" xfId="0" applyNumberFormat="1" applyFont="1" applyFill="1" applyBorder="1" applyAlignment="1">
      <alignment/>
    </xf>
    <xf numFmtId="197" fontId="31" fillId="37" borderId="11" xfId="0" applyNumberFormat="1" applyFont="1" applyFill="1" applyBorder="1" applyAlignment="1">
      <alignment horizontal="right"/>
    </xf>
    <xf numFmtId="197" fontId="5" fillId="37" borderId="10" xfId="0" applyNumberFormat="1" applyFont="1" applyFill="1" applyBorder="1" applyAlignment="1">
      <alignment horizontal="right"/>
    </xf>
    <xf numFmtId="197" fontId="5" fillId="37" borderId="15" xfId="0" applyNumberFormat="1" applyFont="1" applyFill="1" applyBorder="1" applyAlignment="1">
      <alignment horizontal="right"/>
    </xf>
    <xf numFmtId="0" fontId="31" fillId="37" borderId="10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 vertical="center"/>
    </xf>
    <xf numFmtId="197" fontId="5" fillId="0" borderId="10" xfId="0" applyNumberFormat="1" applyFont="1" applyFill="1" applyBorder="1" applyAlignment="1">
      <alignment horizontal="right"/>
    </xf>
    <xf numFmtId="197" fontId="5" fillId="0" borderId="15" xfId="0" applyNumberFormat="1" applyFont="1" applyFill="1" applyBorder="1" applyAlignment="1">
      <alignment horizontal="right"/>
    </xf>
    <xf numFmtId="0" fontId="28" fillId="0" borderId="30" xfId="0" applyFont="1" applyBorder="1" applyAlignment="1">
      <alignment horizontal="center" vertical="center"/>
    </xf>
    <xf numFmtId="4" fontId="104" fillId="36" borderId="41" xfId="0" applyNumberFormat="1" applyFont="1" applyFill="1" applyBorder="1" applyAlignment="1">
      <alignment horizontal="center"/>
    </xf>
    <xf numFmtId="4" fontId="104" fillId="0" borderId="42" xfId="0" applyNumberFormat="1" applyFont="1" applyFill="1" applyBorder="1" applyAlignment="1">
      <alignment horizontal="center"/>
    </xf>
    <xf numFmtId="4" fontId="104" fillId="36" borderId="42" xfId="0" applyNumberFormat="1" applyFont="1" applyFill="1" applyBorder="1" applyAlignment="1">
      <alignment horizontal="center"/>
    </xf>
    <xf numFmtId="4" fontId="104" fillId="0" borderId="68" xfId="0" applyNumberFormat="1" applyFont="1" applyFill="1" applyBorder="1" applyAlignment="1">
      <alignment horizontal="center"/>
    </xf>
    <xf numFmtId="4" fontId="104" fillId="36" borderId="68" xfId="0" applyNumberFormat="1" applyFont="1" applyFill="1" applyBorder="1" applyAlignment="1">
      <alignment horizontal="center"/>
    </xf>
    <xf numFmtId="197" fontId="104" fillId="36" borderId="41" xfId="0" applyNumberFormat="1" applyFont="1" applyFill="1" applyBorder="1" applyAlignment="1">
      <alignment horizontal="center"/>
    </xf>
    <xf numFmtId="4" fontId="104" fillId="0" borderId="41" xfId="0" applyNumberFormat="1" applyFont="1" applyFill="1" applyBorder="1" applyAlignment="1">
      <alignment horizontal="center"/>
    </xf>
    <xf numFmtId="0" fontId="95" fillId="0" borderId="71" xfId="0" applyFont="1" applyFill="1" applyBorder="1" applyAlignment="1">
      <alignment horizontal="center"/>
    </xf>
    <xf numFmtId="0" fontId="104" fillId="33" borderId="56" xfId="53" applyFont="1" applyFill="1" applyBorder="1" applyAlignment="1">
      <alignment horizontal="center" vertical="center"/>
      <protection/>
    </xf>
    <xf numFmtId="0" fontId="104" fillId="33" borderId="42" xfId="53" applyFont="1" applyFill="1" applyBorder="1" applyAlignment="1">
      <alignment horizontal="center" vertical="center"/>
      <protection/>
    </xf>
    <xf numFmtId="0" fontId="104" fillId="33" borderId="11" xfId="53" applyFont="1" applyFill="1" applyBorder="1" applyAlignment="1">
      <alignment horizontal="center" vertical="center"/>
      <protection/>
    </xf>
    <xf numFmtId="3" fontId="114" fillId="0" borderId="13" xfId="53" applyNumberFormat="1" applyFont="1" applyFill="1" applyBorder="1" applyAlignment="1">
      <alignment horizontal="center" vertical="center" wrapText="1"/>
      <protection/>
    </xf>
    <xf numFmtId="3" fontId="114" fillId="0" borderId="16" xfId="53" applyNumberFormat="1" applyFont="1" applyFill="1" applyBorder="1" applyAlignment="1">
      <alignment horizontal="center" vertical="center" wrapText="1"/>
      <protection/>
    </xf>
    <xf numFmtId="3" fontId="104" fillId="0" borderId="10" xfId="53" applyNumberFormat="1" applyFont="1" applyFill="1" applyBorder="1" applyAlignment="1">
      <alignment horizontal="center" vertical="center"/>
      <protection/>
    </xf>
    <xf numFmtId="3" fontId="104" fillId="0" borderId="11" xfId="53" applyNumberFormat="1" applyFont="1" applyFill="1" applyBorder="1" applyAlignment="1">
      <alignment horizontal="center" vertical="center"/>
      <protection/>
    </xf>
    <xf numFmtId="3" fontId="104" fillId="0" borderId="56" xfId="53" applyNumberFormat="1" applyFont="1" applyFill="1" applyBorder="1" applyAlignment="1">
      <alignment horizontal="center" vertical="center"/>
      <protection/>
    </xf>
    <xf numFmtId="3" fontId="104" fillId="0" borderId="30" xfId="53" applyNumberFormat="1" applyFont="1" applyBorder="1" applyAlignment="1">
      <alignment horizontal="center" vertical="center"/>
      <protection/>
    </xf>
    <xf numFmtId="3" fontId="104" fillId="0" borderId="12" xfId="53" applyNumberFormat="1" applyFont="1" applyBorder="1" applyAlignment="1">
      <alignment horizontal="center" vertical="center"/>
      <protection/>
    </xf>
    <xf numFmtId="3" fontId="104" fillId="0" borderId="55" xfId="53" applyNumberFormat="1" applyFont="1" applyBorder="1" applyAlignment="1">
      <alignment horizontal="center" vertical="center"/>
      <protection/>
    </xf>
    <xf numFmtId="3" fontId="114" fillId="33" borderId="41" xfId="53" applyNumberFormat="1" applyFont="1" applyFill="1" applyBorder="1" applyAlignment="1">
      <alignment horizontal="center" vertical="center" wrapText="1"/>
      <protection/>
    </xf>
    <xf numFmtId="3" fontId="114" fillId="33" borderId="42" xfId="53" applyNumberFormat="1" applyFont="1" applyFill="1" applyBorder="1" applyAlignment="1">
      <alignment horizontal="center" vertical="center" wrapText="1"/>
      <protection/>
    </xf>
    <xf numFmtId="3" fontId="114" fillId="33" borderId="43" xfId="53" applyNumberFormat="1" applyFont="1" applyFill="1" applyBorder="1" applyAlignment="1">
      <alignment horizontal="center" vertical="center" wrapText="1"/>
      <protection/>
    </xf>
    <xf numFmtId="3" fontId="114" fillId="33" borderId="16" xfId="53" applyNumberFormat="1" applyFont="1" applyFill="1" applyBorder="1" applyAlignment="1">
      <alignment horizontal="center" vertical="center" wrapText="1"/>
      <protection/>
    </xf>
    <xf numFmtId="3" fontId="114" fillId="33" borderId="56" xfId="53" applyNumberFormat="1" applyFont="1" applyFill="1" applyBorder="1" applyAlignment="1">
      <alignment horizontal="center" vertical="center" wrapText="1"/>
      <protection/>
    </xf>
    <xf numFmtId="3" fontId="114" fillId="33" borderId="55" xfId="53" applyNumberFormat="1" applyFont="1" applyFill="1" applyBorder="1" applyAlignment="1">
      <alignment horizontal="center" vertical="center" wrapText="1"/>
      <protection/>
    </xf>
    <xf numFmtId="3" fontId="104" fillId="33" borderId="56" xfId="53" applyNumberFormat="1" applyFont="1" applyFill="1" applyBorder="1" applyAlignment="1">
      <alignment horizontal="center" vertical="center"/>
      <protection/>
    </xf>
    <xf numFmtId="3" fontId="104" fillId="33" borderId="10" xfId="53" applyNumberFormat="1" applyFont="1" applyFill="1" applyBorder="1" applyAlignment="1">
      <alignment horizontal="center" vertical="center"/>
      <protection/>
    </xf>
    <xf numFmtId="3" fontId="114" fillId="33" borderId="13" xfId="53" applyNumberFormat="1" applyFont="1" applyFill="1" applyBorder="1" applyAlignment="1">
      <alignment horizontal="center" vertical="center" wrapText="1"/>
      <protection/>
    </xf>
    <xf numFmtId="3" fontId="114" fillId="33" borderId="11" xfId="53" applyNumberFormat="1" applyFont="1" applyFill="1" applyBorder="1" applyAlignment="1">
      <alignment horizontal="center" vertical="center" wrapText="1"/>
      <protection/>
    </xf>
    <xf numFmtId="197" fontId="114" fillId="33" borderId="43" xfId="53" applyNumberFormat="1" applyFont="1" applyFill="1" applyBorder="1" applyAlignment="1">
      <alignment horizontal="center" vertical="center" wrapText="1"/>
      <protection/>
    </xf>
    <xf numFmtId="197" fontId="114" fillId="33" borderId="12" xfId="53" applyNumberFormat="1" applyFont="1" applyFill="1" applyBorder="1" applyAlignment="1">
      <alignment horizontal="center" vertical="center" wrapText="1"/>
      <protection/>
    </xf>
    <xf numFmtId="197" fontId="114" fillId="33" borderId="55" xfId="53" applyNumberFormat="1" applyFont="1" applyFill="1" applyBorder="1" applyAlignment="1">
      <alignment horizontal="center" vertical="center" wrapText="1"/>
      <protection/>
    </xf>
    <xf numFmtId="197" fontId="111" fillId="0" borderId="18" xfId="53" applyNumberFormat="1" applyFont="1" applyFill="1" applyBorder="1" applyAlignment="1">
      <alignment horizontal="center" vertical="top" wrapText="1"/>
      <protection/>
    </xf>
    <xf numFmtId="4" fontId="114" fillId="33" borderId="42" xfId="53" applyNumberFormat="1" applyFont="1" applyFill="1" applyBorder="1" applyAlignment="1">
      <alignment horizontal="center" vertical="center" wrapText="1"/>
      <protection/>
    </xf>
    <xf numFmtId="4" fontId="114" fillId="33" borderId="56" xfId="53" applyNumberFormat="1" applyFont="1" applyFill="1" applyBorder="1" applyAlignment="1">
      <alignment horizontal="center" vertical="center" wrapText="1"/>
      <protection/>
    </xf>
    <xf numFmtId="4" fontId="111" fillId="0" borderId="17" xfId="53" applyNumberFormat="1" applyFont="1" applyFill="1" applyBorder="1" applyAlignment="1">
      <alignment horizontal="center" vertical="top" wrapText="1"/>
      <protection/>
    </xf>
    <xf numFmtId="4" fontId="114" fillId="33" borderId="11" xfId="53" applyNumberFormat="1" applyFont="1" applyFill="1" applyBorder="1" applyAlignment="1">
      <alignment horizontal="center" vertical="center" wrapText="1"/>
      <protection/>
    </xf>
    <xf numFmtId="3" fontId="114" fillId="33" borderId="12" xfId="53" applyNumberFormat="1" applyFont="1" applyFill="1" applyBorder="1" applyAlignment="1">
      <alignment horizontal="center" vertical="center" wrapText="1"/>
      <protection/>
    </xf>
    <xf numFmtId="3" fontId="104" fillId="33" borderId="11" xfId="53" applyNumberFormat="1" applyFont="1" applyFill="1" applyBorder="1" applyAlignment="1">
      <alignment horizontal="center" vertical="center"/>
      <protection/>
    </xf>
    <xf numFmtId="191" fontId="38" fillId="0" borderId="0" xfId="55" applyNumberFormat="1" applyFont="1" applyFill="1" applyBorder="1" applyAlignment="1" applyProtection="1">
      <alignment horizontal="center" vertical="center"/>
      <protection hidden="1"/>
    </xf>
    <xf numFmtId="226" fontId="28" fillId="0" borderId="0" xfId="55" applyNumberFormat="1" applyFont="1" applyFill="1" applyBorder="1" applyAlignment="1" applyProtection="1">
      <alignment horizontal="center" vertical="center"/>
      <protection hidden="1"/>
    </xf>
    <xf numFmtId="226" fontId="38" fillId="0" borderId="0" xfId="55" applyNumberFormat="1" applyFont="1" applyFill="1" applyBorder="1" applyAlignment="1" applyProtection="1">
      <alignment horizontal="center" vertical="center"/>
      <protection hidden="1"/>
    </xf>
    <xf numFmtId="191" fontId="28" fillId="0" borderId="0" xfId="55" applyNumberFormat="1" applyFont="1" applyFill="1" applyBorder="1" applyAlignment="1" applyProtection="1">
      <alignment horizontal="center" vertical="center"/>
      <protection hidden="1"/>
    </xf>
    <xf numFmtId="192" fontId="28" fillId="0" borderId="0" xfId="55" applyNumberFormat="1" applyFont="1" applyFill="1" applyAlignment="1" applyProtection="1">
      <alignment horizontal="center" vertical="center"/>
      <protection hidden="1"/>
    </xf>
    <xf numFmtId="225" fontId="112" fillId="0" borderId="0" xfId="53" applyNumberFormat="1" applyFont="1" applyBorder="1" applyAlignment="1">
      <alignment vertical="center" wrapText="1"/>
      <protection/>
    </xf>
    <xf numFmtId="0" fontId="5" fillId="0" borderId="49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1" fillId="33" borderId="68" xfId="0" applyFont="1" applyFill="1" applyBorder="1" applyAlignment="1">
      <alignment/>
    </xf>
    <xf numFmtId="0" fontId="31" fillId="33" borderId="42" xfId="0" applyFont="1" applyFill="1" applyBorder="1" applyAlignment="1">
      <alignment/>
    </xf>
    <xf numFmtId="0" fontId="31" fillId="0" borderId="72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35" xfId="0" applyFont="1" applyFill="1" applyBorder="1" applyAlignment="1">
      <alignment/>
    </xf>
    <xf numFmtId="0" fontId="31" fillId="0" borderId="50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4" xfId="54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31" fillId="33" borderId="15" xfId="0" applyFont="1" applyFill="1" applyBorder="1" applyAlignment="1">
      <alignment/>
    </xf>
    <xf numFmtId="0" fontId="31" fillId="33" borderId="36" xfId="0" applyFont="1" applyFill="1" applyBorder="1" applyAlignment="1">
      <alignment/>
    </xf>
    <xf numFmtId="0" fontId="31" fillId="33" borderId="56" xfId="0" applyFont="1" applyFill="1" applyBorder="1" applyAlignment="1">
      <alignment/>
    </xf>
    <xf numFmtId="0" fontId="31" fillId="0" borderId="6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198" fontId="31" fillId="33" borderId="10" xfId="0" applyNumberFormat="1" applyFont="1" applyFill="1" applyBorder="1" applyAlignment="1">
      <alignment/>
    </xf>
    <xf numFmtId="198" fontId="31" fillId="33" borderId="68" xfId="0" applyNumberFormat="1" applyFont="1" applyFill="1" applyBorder="1" applyAlignment="1">
      <alignment/>
    </xf>
    <xf numFmtId="198" fontId="31" fillId="33" borderId="42" xfId="0" applyNumberFormat="1" applyFont="1" applyFill="1" applyBorder="1" applyAlignment="1">
      <alignment/>
    </xf>
    <xf numFmtId="198" fontId="31" fillId="33" borderId="11" xfId="0" applyNumberFormat="1" applyFont="1" applyFill="1" applyBorder="1" applyAlignment="1">
      <alignment/>
    </xf>
    <xf numFmtId="198" fontId="31" fillId="33" borderId="35" xfId="0" applyNumberFormat="1" applyFont="1" applyFill="1" applyBorder="1" applyAlignment="1">
      <alignment/>
    </xf>
    <xf numFmtId="198" fontId="31" fillId="33" borderId="15" xfId="0" applyNumberFormat="1" applyFont="1" applyFill="1" applyBorder="1" applyAlignment="1">
      <alignment/>
    </xf>
    <xf numFmtId="198" fontId="31" fillId="33" borderId="36" xfId="0" applyNumberFormat="1" applyFont="1" applyFill="1" applyBorder="1" applyAlignment="1">
      <alignment/>
    </xf>
    <xf numFmtId="198" fontId="31" fillId="33" borderId="56" xfId="0" applyNumberFormat="1" applyFont="1" applyFill="1" applyBorder="1" applyAlignment="1">
      <alignment/>
    </xf>
    <xf numFmtId="0" fontId="0" fillId="0" borderId="11" xfId="55" applyFont="1" applyFill="1" applyBorder="1" applyAlignment="1">
      <alignment/>
      <protection/>
    </xf>
    <xf numFmtId="198" fontId="31" fillId="0" borderId="35" xfId="0" applyNumberFormat="1" applyFont="1" applyFill="1" applyBorder="1" applyAlignment="1">
      <alignment/>
    </xf>
    <xf numFmtId="198" fontId="31" fillId="33" borderId="67" xfId="0" applyNumberFormat="1" applyFont="1" applyFill="1" applyBorder="1" applyAlignment="1">
      <alignment/>
    </xf>
    <xf numFmtId="198" fontId="31" fillId="0" borderId="67" xfId="0" applyNumberFormat="1" applyFont="1" applyFill="1" applyBorder="1" applyAlignment="1">
      <alignment/>
    </xf>
    <xf numFmtId="198" fontId="31" fillId="0" borderId="11" xfId="0" applyNumberFormat="1" applyFont="1" applyFill="1" applyBorder="1" applyAlignment="1">
      <alignment/>
    </xf>
    <xf numFmtId="198" fontId="31" fillId="0" borderId="15" xfId="0" applyNumberFormat="1" applyFont="1" applyFill="1" applyBorder="1" applyAlignment="1">
      <alignment/>
    </xf>
    <xf numFmtId="198" fontId="31" fillId="0" borderId="73" xfId="0" applyNumberFormat="1" applyFont="1" applyFill="1" applyBorder="1" applyAlignment="1">
      <alignment/>
    </xf>
    <xf numFmtId="198" fontId="31" fillId="0" borderId="74" xfId="0" applyNumberFormat="1" applyFont="1" applyFill="1" applyBorder="1" applyAlignment="1">
      <alignment/>
    </xf>
    <xf numFmtId="0" fontId="0" fillId="0" borderId="11" xfId="55" applyFont="1" applyFill="1" applyBorder="1" applyAlignment="1">
      <alignment vertical="center"/>
      <protection/>
    </xf>
    <xf numFmtId="3" fontId="104" fillId="0" borderId="60" xfId="0" applyNumberFormat="1" applyFont="1" applyFill="1" applyBorder="1" applyAlignment="1">
      <alignment horizontal="center" vertical="center"/>
    </xf>
    <xf numFmtId="3" fontId="104" fillId="0" borderId="60" xfId="0" applyNumberFormat="1" applyFont="1" applyBorder="1" applyAlignment="1">
      <alignment horizontal="center" vertical="center"/>
    </xf>
    <xf numFmtId="0" fontId="31" fillId="33" borderId="72" xfId="0" applyFont="1" applyFill="1" applyBorder="1" applyAlignment="1">
      <alignment/>
    </xf>
    <xf numFmtId="0" fontId="31" fillId="33" borderId="50" xfId="0" applyFont="1" applyFill="1" applyBorder="1" applyAlignment="1">
      <alignment/>
    </xf>
    <xf numFmtId="0" fontId="31" fillId="33" borderId="66" xfId="0" applyFont="1" applyFill="1" applyBorder="1" applyAlignment="1">
      <alignment/>
    </xf>
    <xf numFmtId="198" fontId="31" fillId="0" borderId="56" xfId="0" applyNumberFormat="1" applyFont="1" applyFill="1" applyBorder="1" applyAlignment="1">
      <alignment/>
    </xf>
    <xf numFmtId="198" fontId="31" fillId="33" borderId="75" xfId="0" applyNumberFormat="1" applyFont="1" applyFill="1" applyBorder="1" applyAlignment="1">
      <alignment/>
    </xf>
    <xf numFmtId="198" fontId="31" fillId="33" borderId="74" xfId="0" applyNumberFormat="1" applyFont="1" applyFill="1" applyBorder="1" applyAlignment="1">
      <alignment/>
    </xf>
    <xf numFmtId="2" fontId="10" fillId="33" borderId="11" xfId="55" applyNumberFormat="1" applyFont="1" applyFill="1" applyBorder="1" applyAlignment="1" applyProtection="1">
      <alignment vertical="center"/>
      <protection hidden="1" locked="0"/>
    </xf>
    <xf numFmtId="214" fontId="10" fillId="33" borderId="11" xfId="55" applyNumberFormat="1" applyFont="1" applyFill="1" applyBorder="1" applyAlignment="1" applyProtection="1">
      <alignment vertical="center"/>
      <protection hidden="1" locked="0"/>
    </xf>
    <xf numFmtId="2" fontId="10" fillId="33" borderId="12" xfId="55" applyNumberFormat="1" applyFont="1" applyFill="1" applyBorder="1" applyAlignment="1" applyProtection="1">
      <alignment vertical="center"/>
      <protection hidden="1" locked="0"/>
    </xf>
    <xf numFmtId="3" fontId="104" fillId="0" borderId="30" xfId="53" applyNumberFormat="1" applyFont="1" applyFill="1" applyBorder="1" applyAlignment="1">
      <alignment horizontal="center" vertical="center"/>
      <protection/>
    </xf>
    <xf numFmtId="3" fontId="104" fillId="0" borderId="12" xfId="53" applyNumberFormat="1" applyFont="1" applyFill="1" applyBorder="1" applyAlignment="1">
      <alignment horizontal="center" vertical="center"/>
      <protection/>
    </xf>
    <xf numFmtId="3" fontId="104" fillId="0" borderId="55" xfId="53" applyNumberFormat="1" applyFont="1" applyFill="1" applyBorder="1" applyAlignment="1">
      <alignment horizontal="center" vertical="center"/>
      <protection/>
    </xf>
    <xf numFmtId="0" fontId="104" fillId="0" borderId="42" xfId="53" applyFont="1" applyFill="1" applyBorder="1" applyAlignment="1">
      <alignment horizontal="center" vertical="center"/>
      <protection/>
    </xf>
    <xf numFmtId="0" fontId="104" fillId="0" borderId="11" xfId="53" applyFont="1" applyFill="1" applyBorder="1" applyAlignment="1">
      <alignment horizontal="center" vertical="center"/>
      <protection/>
    </xf>
    <xf numFmtId="0" fontId="104" fillId="0" borderId="56" xfId="53" applyFont="1" applyFill="1" applyBorder="1" applyAlignment="1">
      <alignment horizontal="center" vertical="center"/>
      <protection/>
    </xf>
    <xf numFmtId="0" fontId="104" fillId="0" borderId="54" xfId="53" applyFont="1" applyBorder="1" applyAlignment="1">
      <alignment horizontal="center" vertical="center" wrapText="1"/>
      <protection/>
    </xf>
    <xf numFmtId="0" fontId="104" fillId="0" borderId="57" xfId="53" applyFont="1" applyBorder="1" applyAlignment="1">
      <alignment horizontal="center" vertical="center" wrapText="1"/>
      <protection/>
    </xf>
    <xf numFmtId="0" fontId="106" fillId="0" borderId="57" xfId="53" applyFont="1" applyBorder="1" applyAlignment="1">
      <alignment horizontal="center" vertical="center"/>
      <protection/>
    </xf>
    <xf numFmtId="0" fontId="106" fillId="0" borderId="54" xfId="53" applyFont="1" applyBorder="1" applyAlignment="1">
      <alignment horizontal="center" vertical="center"/>
      <protection/>
    </xf>
    <xf numFmtId="0" fontId="104" fillId="33" borderId="67" xfId="53" applyFont="1" applyFill="1" applyBorder="1" applyAlignment="1">
      <alignment horizontal="center" vertical="center"/>
      <protection/>
    </xf>
    <xf numFmtId="0" fontId="104" fillId="33" borderId="15" xfId="53" applyFont="1" applyFill="1" applyBorder="1" applyAlignment="1">
      <alignment horizontal="center" vertical="center"/>
      <protection/>
    </xf>
    <xf numFmtId="0" fontId="104" fillId="33" borderId="76" xfId="53" applyFont="1" applyFill="1" applyBorder="1" applyAlignment="1">
      <alignment horizontal="center" vertical="center"/>
      <protection/>
    </xf>
    <xf numFmtId="4" fontId="106" fillId="33" borderId="11" xfId="53" applyNumberFormat="1" applyFont="1" applyFill="1" applyBorder="1">
      <alignment/>
      <protection/>
    </xf>
    <xf numFmtId="4" fontId="104" fillId="33" borderId="11" xfId="53" applyNumberFormat="1" applyFont="1" applyFill="1" applyBorder="1">
      <alignment/>
      <protection/>
    </xf>
    <xf numFmtId="4" fontId="106" fillId="33" borderId="15" xfId="53" applyNumberFormat="1" applyFont="1" applyFill="1" applyBorder="1">
      <alignment/>
      <protection/>
    </xf>
    <xf numFmtId="4" fontId="106" fillId="0" borderId="35" xfId="53" applyNumberFormat="1" applyFont="1" applyBorder="1">
      <alignment/>
      <protection/>
    </xf>
    <xf numFmtId="4" fontId="104" fillId="0" borderId="35" xfId="53" applyNumberFormat="1" applyFont="1" applyBorder="1">
      <alignment/>
      <protection/>
    </xf>
    <xf numFmtId="4" fontId="106" fillId="0" borderId="36" xfId="53" applyNumberFormat="1" applyFont="1" applyBorder="1">
      <alignment/>
      <protection/>
    </xf>
    <xf numFmtId="0" fontId="7" fillId="0" borderId="13" xfId="55" applyFont="1" applyFill="1" applyBorder="1" applyAlignment="1" applyProtection="1">
      <alignment/>
      <protection hidden="1"/>
    </xf>
    <xf numFmtId="0" fontId="7" fillId="0" borderId="14" xfId="55" applyFont="1" applyFill="1" applyBorder="1" applyAlignment="1" applyProtection="1">
      <alignment/>
      <protection hidden="1"/>
    </xf>
    <xf numFmtId="0" fontId="0" fillId="0" borderId="48" xfId="55" applyFont="1" applyFill="1" applyBorder="1" applyAlignment="1" applyProtection="1">
      <alignment/>
      <protection hidden="1"/>
    </xf>
    <xf numFmtId="0" fontId="7" fillId="33" borderId="41" xfId="55" applyFont="1" applyFill="1" applyBorder="1" applyAlignment="1" applyProtection="1">
      <alignment/>
      <protection hidden="1"/>
    </xf>
    <xf numFmtId="4" fontId="0" fillId="33" borderId="42" xfId="55" applyNumberFormat="1" applyFont="1" applyFill="1" applyBorder="1" applyProtection="1">
      <alignment/>
      <protection hidden="1"/>
    </xf>
    <xf numFmtId="4" fontId="0" fillId="33" borderId="43" xfId="55" applyNumberFormat="1" applyFont="1" applyFill="1" applyBorder="1" applyProtection="1">
      <alignment/>
      <protection hidden="1"/>
    </xf>
    <xf numFmtId="0" fontId="104" fillId="33" borderId="35" xfId="53" applyFont="1" applyFill="1" applyBorder="1" applyAlignment="1">
      <alignment horizontal="center" vertical="center"/>
      <protection/>
    </xf>
    <xf numFmtId="0" fontId="104" fillId="33" borderId="50" xfId="53" applyFont="1" applyFill="1" applyBorder="1" applyAlignment="1">
      <alignment horizontal="center" vertical="center"/>
      <protection/>
    </xf>
    <xf numFmtId="4" fontId="106" fillId="0" borderId="54" xfId="53" applyNumberFormat="1" applyFont="1" applyBorder="1">
      <alignment/>
      <protection/>
    </xf>
    <xf numFmtId="4" fontId="106" fillId="0" borderId="18" xfId="53" applyNumberFormat="1" applyFont="1" applyBorder="1">
      <alignment/>
      <protection/>
    </xf>
    <xf numFmtId="4" fontId="106" fillId="33" borderId="17" xfId="53" applyNumberFormat="1" applyFont="1" applyFill="1" applyBorder="1">
      <alignment/>
      <protection/>
    </xf>
    <xf numFmtId="4" fontId="33" fillId="0" borderId="56" xfId="0" applyNumberFormat="1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16" xfId="0" applyFont="1" applyFill="1" applyBorder="1" applyAlignment="1">
      <alignment horizontal="left"/>
    </xf>
    <xf numFmtId="0" fontId="20" fillId="0" borderId="14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/>
    </xf>
    <xf numFmtId="3" fontId="32" fillId="0" borderId="34" xfId="0" applyNumberFormat="1" applyFont="1" applyFill="1" applyBorder="1" applyAlignment="1">
      <alignment/>
    </xf>
    <xf numFmtId="0" fontId="104" fillId="0" borderId="0" xfId="0" applyFont="1" applyBorder="1" applyAlignment="1">
      <alignment/>
    </xf>
    <xf numFmtId="0" fontId="104" fillId="0" borderId="41" xfId="0" applyFont="1" applyBorder="1" applyAlignment="1">
      <alignment horizontal="center" vertical="center" wrapText="1"/>
    </xf>
    <xf numFmtId="0" fontId="104" fillId="33" borderId="42" xfId="0" applyFont="1" applyFill="1" applyBorder="1" applyAlignment="1">
      <alignment horizontal="center" wrapText="1"/>
    </xf>
    <xf numFmtId="0" fontId="104" fillId="0" borderId="42" xfId="0" applyFont="1" applyBorder="1" applyAlignment="1">
      <alignment horizontal="center" vertical="center" wrapText="1"/>
    </xf>
    <xf numFmtId="0" fontId="104" fillId="33" borderId="43" xfId="0" applyFont="1" applyFill="1" applyBorder="1" applyAlignment="1">
      <alignment horizontal="center" vertical="center" wrapText="1"/>
    </xf>
    <xf numFmtId="0" fontId="104" fillId="0" borderId="7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left" wrapText="1"/>
    </xf>
    <xf numFmtId="3" fontId="106" fillId="0" borderId="16" xfId="0" applyNumberFormat="1" applyFont="1" applyBorder="1" applyAlignment="1">
      <alignment horizontal="center" wrapText="1"/>
    </xf>
    <xf numFmtId="3" fontId="106" fillId="33" borderId="56" xfId="0" applyNumberFormat="1" applyFont="1" applyFill="1" applyBorder="1" applyAlignment="1">
      <alignment horizontal="center" wrapText="1"/>
    </xf>
    <xf numFmtId="3" fontId="106" fillId="0" borderId="56" xfId="0" applyNumberFormat="1" applyFont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3" fontId="115" fillId="33" borderId="11" xfId="0" applyNumberFormat="1" applyFont="1" applyFill="1" applyBorder="1" applyAlignment="1">
      <alignment horizontal="center" wrapText="1"/>
    </xf>
    <xf numFmtId="3" fontId="106" fillId="33" borderId="55" xfId="0" applyNumberFormat="1" applyFont="1" applyFill="1" applyBorder="1" applyAlignment="1">
      <alignment horizontal="center" wrapText="1"/>
    </xf>
    <xf numFmtId="3" fontId="106" fillId="0" borderId="76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left" wrapText="1"/>
    </xf>
    <xf numFmtId="3" fontId="106" fillId="0" borderId="25" xfId="0" applyNumberFormat="1" applyFont="1" applyBorder="1" applyAlignment="1">
      <alignment horizontal="center" wrapText="1"/>
    </xf>
    <xf numFmtId="3" fontId="106" fillId="33" borderId="10" xfId="0" applyNumberFormat="1" applyFont="1" applyFill="1" applyBorder="1" applyAlignment="1">
      <alignment horizontal="center" wrapText="1"/>
    </xf>
    <xf numFmtId="3" fontId="106" fillId="0" borderId="10" xfId="0" applyNumberFormat="1" applyFont="1" applyBorder="1" applyAlignment="1">
      <alignment horizontal="center" wrapText="1"/>
    </xf>
    <xf numFmtId="3" fontId="5" fillId="33" borderId="30" xfId="0" applyNumberFormat="1" applyFont="1" applyFill="1" applyBorder="1" applyAlignment="1">
      <alignment horizontal="center" wrapText="1"/>
    </xf>
    <xf numFmtId="3" fontId="115" fillId="33" borderId="30" xfId="0" applyNumberFormat="1" applyFont="1" applyFill="1" applyBorder="1" applyAlignment="1">
      <alignment horizontal="center" wrapText="1"/>
    </xf>
    <xf numFmtId="3" fontId="106" fillId="33" borderId="30" xfId="0" applyNumberFormat="1" applyFont="1" applyFill="1" applyBorder="1" applyAlignment="1">
      <alignment horizontal="center" wrapText="1"/>
    </xf>
    <xf numFmtId="3" fontId="106" fillId="0" borderId="77" xfId="0" applyNumberFormat="1" applyFont="1" applyBorder="1" applyAlignment="1">
      <alignment horizontal="center" wrapText="1"/>
    </xf>
    <xf numFmtId="0" fontId="104" fillId="0" borderId="26" xfId="0" applyFont="1" applyBorder="1" applyAlignment="1">
      <alignment wrapText="1"/>
    </xf>
    <xf numFmtId="3" fontId="104" fillId="0" borderId="13" xfId="0" applyNumberFormat="1" applyFont="1" applyBorder="1" applyAlignment="1">
      <alignment horizontal="center" wrapText="1"/>
    </xf>
    <xf numFmtId="3" fontId="104" fillId="33" borderId="11" xfId="0" applyNumberFormat="1" applyFont="1" applyFill="1" applyBorder="1" applyAlignment="1">
      <alignment horizontal="center" wrapText="1"/>
    </xf>
    <xf numFmtId="3" fontId="104" fillId="0" borderId="11" xfId="0" applyNumberFormat="1" applyFont="1" applyBorder="1" applyAlignment="1">
      <alignment horizontal="center" wrapText="1"/>
    </xf>
    <xf numFmtId="3" fontId="31" fillId="33" borderId="12" xfId="0" applyNumberFormat="1" applyFont="1" applyFill="1" applyBorder="1" applyAlignment="1">
      <alignment horizontal="center" wrapText="1"/>
    </xf>
    <xf numFmtId="3" fontId="116" fillId="33" borderId="12" xfId="0" applyNumberFormat="1" applyFont="1" applyFill="1" applyBorder="1" applyAlignment="1">
      <alignment horizontal="center" wrapText="1"/>
    </xf>
    <xf numFmtId="3" fontId="104" fillId="33" borderId="12" xfId="0" applyNumberFormat="1" applyFont="1" applyFill="1" applyBorder="1" applyAlignment="1">
      <alignment horizontal="center" wrapText="1"/>
    </xf>
    <xf numFmtId="3" fontId="104" fillId="0" borderId="50" xfId="0" applyNumberFormat="1" applyFont="1" applyBorder="1" applyAlignment="1">
      <alignment horizontal="center" wrapText="1"/>
    </xf>
    <xf numFmtId="0" fontId="104" fillId="0" borderId="27" xfId="0" applyFont="1" applyBorder="1" applyAlignment="1">
      <alignment wrapText="1"/>
    </xf>
    <xf numFmtId="3" fontId="104" fillId="0" borderId="14" xfId="0" applyNumberFormat="1" applyFont="1" applyBorder="1" applyAlignment="1">
      <alignment horizontal="center" wrapText="1"/>
    </xf>
    <xf numFmtId="3" fontId="104" fillId="33" borderId="15" xfId="0" applyNumberFormat="1" applyFont="1" applyFill="1" applyBorder="1" applyAlignment="1">
      <alignment horizontal="center" wrapText="1"/>
    </xf>
    <xf numFmtId="3" fontId="104" fillId="0" borderId="15" xfId="0" applyNumberFormat="1" applyFont="1" applyBorder="1" applyAlignment="1">
      <alignment horizontal="center" wrapText="1"/>
    </xf>
    <xf numFmtId="3" fontId="31" fillId="33" borderId="34" xfId="0" applyNumberFormat="1" applyFont="1" applyFill="1" applyBorder="1" applyAlignment="1">
      <alignment horizontal="center" wrapText="1"/>
    </xf>
    <xf numFmtId="3" fontId="116" fillId="33" borderId="34" xfId="0" applyNumberFormat="1" applyFont="1" applyFill="1" applyBorder="1" applyAlignment="1">
      <alignment horizontal="center" wrapText="1"/>
    </xf>
    <xf numFmtId="3" fontId="104" fillId="33" borderId="34" xfId="0" applyNumberFormat="1" applyFont="1" applyFill="1" applyBorder="1" applyAlignment="1">
      <alignment horizontal="center" wrapText="1"/>
    </xf>
    <xf numFmtId="3" fontId="104" fillId="0" borderId="66" xfId="0" applyNumberFormat="1" applyFont="1" applyBorder="1" applyAlignment="1">
      <alignment horizontal="center" wrapText="1"/>
    </xf>
    <xf numFmtId="0" fontId="106" fillId="0" borderId="24" xfId="0" applyFont="1" applyBorder="1" applyAlignment="1">
      <alignment wrapText="1"/>
    </xf>
    <xf numFmtId="3" fontId="106" fillId="33" borderId="12" xfId="0" applyNumberFormat="1" applyFont="1" applyFill="1" applyBorder="1" applyAlignment="1">
      <alignment horizontal="center" wrapText="1"/>
    </xf>
    <xf numFmtId="3" fontId="104" fillId="0" borderId="0" xfId="0" applyNumberFormat="1" applyFont="1" applyAlignment="1">
      <alignment/>
    </xf>
    <xf numFmtId="0" fontId="108" fillId="0" borderId="0" xfId="0" applyFont="1" applyAlignment="1">
      <alignment horizontal="justify"/>
    </xf>
    <xf numFmtId="0" fontId="106" fillId="0" borderId="0" xfId="0" applyFont="1" applyFill="1" applyBorder="1" applyAlignment="1">
      <alignment/>
    </xf>
    <xf numFmtId="0" fontId="117" fillId="0" borderId="0" xfId="0" applyFont="1" applyAlignment="1">
      <alignment horizontal="justify"/>
    </xf>
    <xf numFmtId="0" fontId="108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4" fontId="104" fillId="0" borderId="0" xfId="0" applyNumberFormat="1" applyFont="1" applyBorder="1" applyAlignment="1">
      <alignment/>
    </xf>
    <xf numFmtId="3" fontId="104" fillId="0" borderId="0" xfId="0" applyNumberFormat="1" applyFont="1" applyBorder="1" applyAlignment="1">
      <alignment/>
    </xf>
    <xf numFmtId="0" fontId="118" fillId="0" borderId="0" xfId="42" applyFont="1" applyAlignment="1" applyProtection="1">
      <alignment horizontal="justify"/>
      <protection/>
    </xf>
    <xf numFmtId="0" fontId="108" fillId="0" borderId="0" xfId="0" applyFont="1" applyFill="1" applyBorder="1" applyAlignment="1">
      <alignment horizontal="center" wrapText="1"/>
    </xf>
    <xf numFmtId="3" fontId="106" fillId="0" borderId="0" xfId="0" applyNumberFormat="1" applyFont="1" applyFill="1" applyBorder="1" applyAlignment="1">
      <alignment horizontal="center" wrapText="1"/>
    </xf>
    <xf numFmtId="3" fontId="10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06" fillId="0" borderId="0" xfId="0" applyFont="1" applyAlignment="1">
      <alignment horizontal="left"/>
    </xf>
    <xf numFmtId="0" fontId="110" fillId="0" borderId="0" xfId="0" applyFont="1" applyFill="1" applyBorder="1" applyAlignment="1">
      <alignment horizontal="center" wrapText="1"/>
    </xf>
    <xf numFmtId="3" fontId="104" fillId="0" borderId="0" xfId="0" applyNumberFormat="1" applyFont="1" applyBorder="1" applyAlignment="1">
      <alignment horizontal="center" wrapText="1"/>
    </xf>
    <xf numFmtId="0" fontId="108" fillId="0" borderId="0" xfId="0" applyFont="1" applyBorder="1" applyAlignment="1">
      <alignment wrapText="1"/>
    </xf>
    <xf numFmtId="3" fontId="104" fillId="0" borderId="0" xfId="0" applyNumberFormat="1" applyFont="1" applyFill="1" applyBorder="1" applyAlignment="1">
      <alignment horizontal="center" wrapText="1"/>
    </xf>
    <xf numFmtId="0" fontId="110" fillId="0" borderId="0" xfId="0" applyFont="1" applyBorder="1" applyAlignment="1">
      <alignment wrapText="1"/>
    </xf>
    <xf numFmtId="0" fontId="108" fillId="0" borderId="0" xfId="0" applyFont="1" applyBorder="1" applyAlignment="1">
      <alignment horizontal="center" wrapText="1"/>
    </xf>
    <xf numFmtId="0" fontId="110" fillId="0" borderId="0" xfId="0" applyFont="1" applyBorder="1" applyAlignment="1">
      <alignment horizontal="center" wrapText="1"/>
    </xf>
    <xf numFmtId="0" fontId="104" fillId="0" borderId="48" xfId="0" applyFont="1" applyBorder="1" applyAlignment="1">
      <alignment horizontal="center" wrapText="1"/>
    </xf>
    <xf numFmtId="0" fontId="104" fillId="33" borderId="18" xfId="0" applyFont="1" applyFill="1" applyBorder="1" applyAlignment="1">
      <alignment horizontal="center" wrapText="1"/>
    </xf>
    <xf numFmtId="0" fontId="104" fillId="0" borderId="66" xfId="0" applyFont="1" applyBorder="1" applyAlignment="1">
      <alignment horizontal="center" wrapText="1"/>
    </xf>
    <xf numFmtId="0" fontId="104" fillId="0" borderId="0" xfId="0" applyFont="1" applyBorder="1" applyAlignment="1">
      <alignment horizontal="center" wrapText="1"/>
    </xf>
    <xf numFmtId="0" fontId="5" fillId="0" borderId="45" xfId="0" applyFont="1" applyBorder="1" applyAlignment="1">
      <alignment horizontal="left" wrapText="1"/>
    </xf>
    <xf numFmtId="3" fontId="106" fillId="0" borderId="48" xfId="0" applyNumberFormat="1" applyFont="1" applyBorder="1" applyAlignment="1">
      <alignment horizontal="center" wrapText="1"/>
    </xf>
    <xf numFmtId="3" fontId="106" fillId="33" borderId="18" xfId="0" applyNumberFormat="1" applyFont="1" applyFill="1" applyBorder="1" applyAlignment="1">
      <alignment horizontal="center" wrapText="1"/>
    </xf>
    <xf numFmtId="3" fontId="106" fillId="0" borderId="57" xfId="0" applyNumberFormat="1" applyFont="1" applyBorder="1" applyAlignment="1">
      <alignment horizontal="center" wrapText="1"/>
    </xf>
    <xf numFmtId="0" fontId="106" fillId="0" borderId="0" xfId="0" applyFont="1" applyBorder="1" applyAlignment="1">
      <alignment horizontal="center" wrapText="1"/>
    </xf>
    <xf numFmtId="3" fontId="106" fillId="0" borderId="0" xfId="0" applyNumberFormat="1" applyFont="1" applyBorder="1" applyAlignment="1">
      <alignment horizontal="center" wrapText="1"/>
    </xf>
    <xf numFmtId="3" fontId="108" fillId="0" borderId="0" xfId="0" applyNumberFormat="1" applyFont="1" applyBorder="1" applyAlignment="1">
      <alignment horizontal="center" wrapText="1"/>
    </xf>
    <xf numFmtId="0" fontId="11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" fontId="31" fillId="33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4" fontId="31" fillId="35" borderId="11" xfId="0" applyNumberFormat="1" applyFont="1" applyFill="1" applyBorder="1" applyAlignment="1">
      <alignment horizontal="center" vertical="center" wrapText="1"/>
    </xf>
    <xf numFmtId="225" fontId="31" fillId="35" borderId="78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35" borderId="0" xfId="0" applyFont="1" applyFill="1" applyAlignment="1">
      <alignment/>
    </xf>
    <xf numFmtId="4" fontId="31" fillId="35" borderId="0" xfId="0" applyNumberFormat="1" applyFont="1" applyFill="1" applyAlignment="1">
      <alignment/>
    </xf>
    <xf numFmtId="4" fontId="31" fillId="0" borderId="0" xfId="0" applyNumberFormat="1" applyFont="1" applyAlignment="1">
      <alignment/>
    </xf>
    <xf numFmtId="4" fontId="31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37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31" fillId="38" borderId="11" xfId="0" applyNumberFormat="1" applyFont="1" applyFill="1" applyBorder="1" applyAlignment="1">
      <alignment/>
    </xf>
    <xf numFmtId="197" fontId="114" fillId="38" borderId="12" xfId="53" applyNumberFormat="1" applyFont="1" applyFill="1" applyBorder="1" applyAlignment="1">
      <alignment horizontal="center" vertical="center" wrapText="1"/>
      <protection/>
    </xf>
    <xf numFmtId="3" fontId="114" fillId="37" borderId="13" xfId="53" applyNumberFormat="1" applyFont="1" applyFill="1" applyBorder="1" applyAlignment="1">
      <alignment horizontal="center" vertical="center" wrapText="1"/>
      <protection/>
    </xf>
    <xf numFmtId="3" fontId="114" fillId="37" borderId="16" xfId="53" applyNumberFormat="1" applyFont="1" applyFill="1" applyBorder="1" applyAlignment="1">
      <alignment horizontal="center" vertical="center" wrapText="1"/>
      <protection/>
    </xf>
    <xf numFmtId="3" fontId="114" fillId="37" borderId="11" xfId="53" applyNumberFormat="1" applyFont="1" applyFill="1" applyBorder="1" applyAlignment="1">
      <alignment horizontal="center" vertical="center" wrapText="1"/>
      <protection/>
    </xf>
    <xf numFmtId="3" fontId="114" fillId="37" borderId="56" xfId="53" applyNumberFormat="1" applyFont="1" applyFill="1" applyBorder="1" applyAlignment="1">
      <alignment horizontal="center" vertical="center" wrapText="1"/>
      <protection/>
    </xf>
    <xf numFmtId="197" fontId="114" fillId="37" borderId="55" xfId="53" applyNumberFormat="1" applyFont="1" applyFill="1" applyBorder="1" applyAlignment="1">
      <alignment horizontal="center" vertical="center" wrapText="1"/>
      <protection/>
    </xf>
    <xf numFmtId="197" fontId="114" fillId="38" borderId="43" xfId="53" applyNumberFormat="1" applyFont="1" applyFill="1" applyBorder="1" applyAlignment="1">
      <alignment horizontal="center" vertical="center" wrapText="1"/>
      <protection/>
    </xf>
    <xf numFmtId="4" fontId="106" fillId="38" borderId="11" xfId="53" applyNumberFormat="1" applyFont="1" applyFill="1" applyBorder="1">
      <alignment/>
      <protection/>
    </xf>
    <xf numFmtId="4" fontId="104" fillId="38" borderId="11" xfId="53" applyNumberFormat="1" applyFont="1" applyFill="1" applyBorder="1">
      <alignment/>
      <protection/>
    </xf>
    <xf numFmtId="4" fontId="106" fillId="38" borderId="15" xfId="53" applyNumberFormat="1" applyFont="1" applyFill="1" applyBorder="1">
      <alignment/>
      <protection/>
    </xf>
    <xf numFmtId="0" fontId="31" fillId="33" borderId="0" xfId="0" applyFont="1" applyFill="1" applyAlignment="1">
      <alignment wrapText="1"/>
    </xf>
    <xf numFmtId="4" fontId="31" fillId="33" borderId="0" xfId="0" applyNumberFormat="1" applyFont="1" applyFill="1" applyAlignment="1">
      <alignment vertical="center"/>
    </xf>
    <xf numFmtId="0" fontId="95" fillId="0" borderId="79" xfId="0" applyFont="1" applyFill="1" applyBorder="1" applyAlignment="1">
      <alignment horizontal="center"/>
    </xf>
    <xf numFmtId="4" fontId="95" fillId="0" borderId="16" xfId="0" applyNumberFormat="1" applyFont="1" applyBorder="1" applyAlignment="1">
      <alignment horizontal="center"/>
    </xf>
    <xf numFmtId="4" fontId="95" fillId="0" borderId="56" xfId="0" applyNumberFormat="1" applyFont="1" applyFill="1" applyBorder="1" applyAlignment="1">
      <alignment horizontal="center"/>
    </xf>
    <xf numFmtId="4" fontId="95" fillId="0" borderId="56" xfId="0" applyNumberFormat="1" applyFont="1" applyBorder="1" applyAlignment="1">
      <alignment horizontal="center"/>
    </xf>
    <xf numFmtId="4" fontId="95" fillId="0" borderId="16" xfId="0" applyNumberFormat="1" applyFont="1" applyFill="1" applyBorder="1" applyAlignment="1">
      <alignment horizontal="center"/>
    </xf>
    <xf numFmtId="197" fontId="95" fillId="0" borderId="16" xfId="0" applyNumberFormat="1" applyFont="1" applyFill="1" applyBorder="1" applyAlignment="1">
      <alignment horizontal="center"/>
    </xf>
    <xf numFmtId="4" fontId="95" fillId="37" borderId="41" xfId="0" applyNumberFormat="1" applyFont="1" applyFill="1" applyBorder="1" applyAlignment="1">
      <alignment horizontal="center"/>
    </xf>
    <xf numFmtId="4" fontId="95" fillId="0" borderId="78" xfId="0" applyNumberFormat="1" applyFont="1" applyFill="1" applyBorder="1" applyAlignment="1">
      <alignment horizontal="center"/>
    </xf>
    <xf numFmtId="4" fontId="95" fillId="0" borderId="51" xfId="0" applyNumberFormat="1" applyFont="1" applyFill="1" applyBorder="1" applyAlignment="1">
      <alignment horizontal="center"/>
    </xf>
    <xf numFmtId="4" fontId="95" fillId="0" borderId="80" xfId="0" applyNumberFormat="1" applyFont="1" applyFill="1" applyBorder="1" applyAlignment="1">
      <alignment horizontal="center"/>
    </xf>
    <xf numFmtId="197" fontId="95" fillId="0" borderId="51" xfId="0" applyNumberFormat="1" applyFont="1" applyFill="1" applyBorder="1" applyAlignment="1">
      <alignment horizontal="center"/>
    </xf>
    <xf numFmtId="0" fontId="95" fillId="0" borderId="81" xfId="0" applyFont="1" applyFill="1" applyBorder="1" applyAlignment="1">
      <alignment horizontal="center"/>
    </xf>
    <xf numFmtId="197" fontId="104" fillId="0" borderId="41" xfId="0" applyNumberFormat="1" applyFont="1" applyFill="1" applyBorder="1" applyAlignment="1">
      <alignment horizontal="center"/>
    </xf>
    <xf numFmtId="4" fontId="104" fillId="0" borderId="25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33" borderId="15" xfId="0" applyNumberFormat="1" applyFont="1" applyFill="1" applyBorder="1" applyAlignment="1">
      <alignment horizontal="right"/>
    </xf>
    <xf numFmtId="4" fontId="8" fillId="37" borderId="10" xfId="0" applyNumberFormat="1" applyFont="1" applyFill="1" applyBorder="1" applyAlignment="1">
      <alignment horizontal="right"/>
    </xf>
    <xf numFmtId="4" fontId="8" fillId="37" borderId="11" xfId="0" applyNumberFormat="1" applyFont="1" applyFill="1" applyBorder="1" applyAlignment="1">
      <alignment horizontal="right"/>
    </xf>
    <xf numFmtId="4" fontId="8" fillId="37" borderId="15" xfId="0" applyNumberFormat="1" applyFont="1" applyFill="1" applyBorder="1" applyAlignment="1">
      <alignment horizontal="right"/>
    </xf>
    <xf numFmtId="180" fontId="95" fillId="0" borderId="54" xfId="0" applyNumberFormat="1" applyFont="1" applyFill="1" applyBorder="1" applyAlignment="1">
      <alignment horizontal="center"/>
    </xf>
    <xf numFmtId="4" fontId="95" fillId="37" borderId="16" xfId="0" applyNumberFormat="1" applyFont="1" applyFill="1" applyBorder="1" applyAlignment="1">
      <alignment horizontal="center"/>
    </xf>
    <xf numFmtId="4" fontId="95" fillId="37" borderId="48" xfId="0" applyNumberFormat="1" applyFont="1" applyFill="1" applyBorder="1" applyAlignment="1">
      <alignment horizontal="center"/>
    </xf>
    <xf numFmtId="0" fontId="104" fillId="33" borderId="68" xfId="53" applyFont="1" applyFill="1" applyBorder="1" applyAlignment="1">
      <alignment horizontal="center" vertical="center"/>
      <protection/>
    </xf>
    <xf numFmtId="0" fontId="104" fillId="33" borderId="72" xfId="53" applyFont="1" applyFill="1" applyBorder="1" applyAlignment="1">
      <alignment horizontal="center" vertical="center"/>
      <protection/>
    </xf>
    <xf numFmtId="3" fontId="114" fillId="37" borderId="42" xfId="53" applyNumberFormat="1" applyFont="1" applyFill="1" applyBorder="1" applyAlignment="1">
      <alignment horizontal="center" vertical="center" wrapText="1"/>
      <protection/>
    </xf>
    <xf numFmtId="3" fontId="114" fillId="37" borderId="41" xfId="53" applyNumberFormat="1" applyFont="1" applyFill="1" applyBorder="1" applyAlignment="1">
      <alignment horizontal="center" vertical="center" wrapText="1"/>
      <protection/>
    </xf>
    <xf numFmtId="3" fontId="104" fillId="0" borderId="0" xfId="53" applyNumberFormat="1" applyFont="1">
      <alignment/>
      <protection/>
    </xf>
    <xf numFmtId="2" fontId="10" fillId="33" borderId="11" xfId="55" applyNumberFormat="1" applyFont="1" applyFill="1" applyBorder="1" applyProtection="1">
      <alignment/>
      <protection hidden="1" locked="0"/>
    </xf>
    <xf numFmtId="2" fontId="10" fillId="33" borderId="12" xfId="55" applyNumberFormat="1" applyFont="1" applyFill="1" applyBorder="1" applyProtection="1">
      <alignment/>
      <protection hidden="1" locked="0"/>
    </xf>
    <xf numFmtId="2" fontId="10" fillId="33" borderId="11" xfId="55" applyNumberFormat="1" applyFont="1" applyFill="1" applyBorder="1" applyProtection="1">
      <alignment/>
      <protection hidden="1"/>
    </xf>
    <xf numFmtId="2" fontId="10" fillId="33" borderId="12" xfId="55" applyNumberFormat="1" applyFont="1" applyFill="1" applyBorder="1" applyProtection="1">
      <alignment/>
      <protection hidden="1"/>
    </xf>
    <xf numFmtId="214" fontId="11" fillId="35" borderId="11" xfId="55" applyNumberFormat="1" applyFont="1" applyFill="1" applyBorder="1" applyAlignment="1" applyProtection="1">
      <alignment horizontal="right" vertical="center"/>
      <protection hidden="1"/>
    </xf>
    <xf numFmtId="2" fontId="102" fillId="35" borderId="11" xfId="55" applyNumberFormat="1" applyFont="1" applyFill="1" applyBorder="1" applyAlignment="1" applyProtection="1">
      <alignment horizontal="right" vertical="center"/>
      <protection hidden="1" locked="0"/>
    </xf>
    <xf numFmtId="214" fontId="102" fillId="35" borderId="11" xfId="55" applyNumberFormat="1" applyFont="1" applyFill="1" applyBorder="1" applyAlignment="1" applyProtection="1">
      <alignment vertical="center"/>
      <protection hidden="1" locked="0"/>
    </xf>
    <xf numFmtId="2" fontId="102" fillId="35" borderId="11" xfId="55" applyNumberFormat="1" applyFont="1" applyFill="1" applyBorder="1" applyAlignment="1" applyProtection="1">
      <alignment vertical="center"/>
      <protection hidden="1" locked="0"/>
    </xf>
    <xf numFmtId="2" fontId="102" fillId="35" borderId="12" xfId="55" applyNumberFormat="1" applyFont="1" applyFill="1" applyBorder="1" applyAlignment="1" applyProtection="1">
      <alignment vertical="center"/>
      <protection hidden="1" locked="0"/>
    </xf>
    <xf numFmtId="214" fontId="119" fillId="35" borderId="11" xfId="55" applyNumberFormat="1" applyFont="1" applyFill="1" applyBorder="1" applyAlignment="1" applyProtection="1">
      <alignment horizontal="right" vertical="center"/>
      <protection hidden="1"/>
    </xf>
    <xf numFmtId="215" fontId="119" fillId="35" borderId="11" xfId="55" applyNumberFormat="1" applyFont="1" applyFill="1" applyBorder="1" applyAlignment="1" applyProtection="1">
      <alignment horizontal="right" vertical="center"/>
      <protection hidden="1" locked="0"/>
    </xf>
    <xf numFmtId="215" fontId="119" fillId="35" borderId="12" xfId="55" applyNumberFormat="1" applyFont="1" applyFill="1" applyBorder="1" applyAlignment="1" applyProtection="1">
      <alignment horizontal="right" vertical="center"/>
      <protection hidden="1" locked="0"/>
    </xf>
    <xf numFmtId="214" fontId="102" fillId="35" borderId="11" xfId="55" applyNumberFormat="1" applyFont="1" applyFill="1" applyBorder="1" applyAlignment="1" applyProtection="1">
      <alignment horizontal="right"/>
      <protection hidden="1" locked="0"/>
    </xf>
    <xf numFmtId="214" fontId="102" fillId="35" borderId="12" xfId="55" applyNumberFormat="1" applyFont="1" applyFill="1" applyBorder="1" applyAlignment="1" applyProtection="1">
      <alignment horizontal="right"/>
      <protection hidden="1" locked="0"/>
    </xf>
    <xf numFmtId="0" fontId="102" fillId="35" borderId="11" xfId="55" applyFont="1" applyFill="1" applyBorder="1" applyProtection="1">
      <alignment/>
      <protection hidden="1" locked="0"/>
    </xf>
    <xf numFmtId="0" fontId="102" fillId="35" borderId="11" xfId="55" applyFont="1" applyFill="1" applyBorder="1" applyAlignment="1" applyProtection="1">
      <alignment vertical="center"/>
      <protection hidden="1" locked="0"/>
    </xf>
    <xf numFmtId="3" fontId="31" fillId="38" borderId="13" xfId="0" applyNumberFormat="1" applyFont="1" applyFill="1" applyBorder="1" applyAlignment="1">
      <alignment horizontal="center"/>
    </xf>
    <xf numFmtId="4" fontId="31" fillId="38" borderId="12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/>
    </xf>
    <xf numFmtId="3" fontId="31" fillId="38" borderId="11" xfId="0" applyNumberFormat="1" applyFont="1" applyFill="1" applyBorder="1" applyAlignment="1">
      <alignment horizontal="center"/>
    </xf>
    <xf numFmtId="4" fontId="31" fillId="38" borderId="11" xfId="0" applyNumberFormat="1" applyFont="1" applyFill="1" applyBorder="1" applyAlignment="1">
      <alignment horizontal="center"/>
    </xf>
    <xf numFmtId="4" fontId="31" fillId="0" borderId="30" xfId="0" applyNumberFormat="1" applyFont="1" applyFill="1" applyBorder="1" applyAlignment="1">
      <alignment horizontal="center" wrapText="1"/>
    </xf>
    <xf numFmtId="4" fontId="106" fillId="33" borderId="18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/>
    </xf>
    <xf numFmtId="0" fontId="16" fillId="35" borderId="13" xfId="55" applyFont="1" applyFill="1" applyBorder="1" applyAlignment="1" applyProtection="1">
      <alignment horizontal="left" vertical="top" wrapText="1"/>
      <protection hidden="1"/>
    </xf>
    <xf numFmtId="0" fontId="9" fillId="35" borderId="11" xfId="55" applyFont="1" applyFill="1" applyBorder="1" applyAlignment="1" applyProtection="1">
      <alignment horizontal="center" vertical="center" wrapText="1"/>
      <protection hidden="1"/>
    </xf>
    <xf numFmtId="2" fontId="10" fillId="35" borderId="11" xfId="55" applyNumberFormat="1" applyFont="1" applyFill="1" applyBorder="1" applyProtection="1">
      <alignment/>
      <protection hidden="1" locked="0"/>
    </xf>
    <xf numFmtId="4" fontId="10" fillId="35" borderId="11" xfId="55" applyNumberFormat="1" applyFont="1" applyFill="1" applyBorder="1" applyProtection="1">
      <alignment/>
      <protection hidden="1" locked="0"/>
    </xf>
    <xf numFmtId="4" fontId="10" fillId="35" borderId="12" xfId="55" applyNumberFormat="1" applyFont="1" applyFill="1" applyBorder="1" applyProtection="1">
      <alignment/>
      <protection hidden="1" locked="0"/>
    </xf>
    <xf numFmtId="0" fontId="9" fillId="35" borderId="13" xfId="55" applyFont="1" applyFill="1" applyBorder="1" applyAlignment="1" applyProtection="1">
      <alignment horizontal="left" vertical="top" wrapText="1"/>
      <protection hidden="1"/>
    </xf>
    <xf numFmtId="0" fontId="9" fillId="35" borderId="13" xfId="55" applyFont="1" applyFill="1" applyBorder="1" applyAlignment="1" applyProtection="1">
      <alignment vertical="top" wrapText="1"/>
      <protection hidden="1"/>
    </xf>
    <xf numFmtId="2" fontId="10" fillId="35" borderId="12" xfId="55" applyNumberFormat="1" applyFont="1" applyFill="1" applyBorder="1" applyProtection="1">
      <alignment/>
      <protection hidden="1" locked="0"/>
    </xf>
    <xf numFmtId="214" fontId="0" fillId="35" borderId="11" xfId="55" applyNumberFormat="1" applyFont="1" applyFill="1" applyBorder="1" applyAlignment="1" applyProtection="1">
      <alignment horizontal="right"/>
      <protection hidden="1" locked="0"/>
    </xf>
    <xf numFmtId="214" fontId="10" fillId="35" borderId="11" xfId="55" applyNumberFormat="1" applyFont="1" applyFill="1" applyBorder="1" applyAlignment="1" applyProtection="1">
      <alignment horizontal="right"/>
      <protection hidden="1" locked="0"/>
    </xf>
    <xf numFmtId="214" fontId="10" fillId="35" borderId="12" xfId="55" applyNumberFormat="1" applyFont="1" applyFill="1" applyBorder="1" applyAlignment="1" applyProtection="1">
      <alignment horizontal="right"/>
      <protection hidden="1" locked="0"/>
    </xf>
    <xf numFmtId="215" fontId="11" fillId="35" borderId="11" xfId="55" applyNumberFormat="1" applyFont="1" applyFill="1" applyBorder="1" applyAlignment="1" applyProtection="1">
      <alignment horizontal="right"/>
      <protection hidden="1" locked="0"/>
    </xf>
    <xf numFmtId="215" fontId="11" fillId="35" borderId="11" xfId="55" applyNumberFormat="1" applyFont="1" applyFill="1" applyBorder="1" applyAlignment="1" applyProtection="1">
      <alignment horizontal="right" vertical="center"/>
      <protection hidden="1" locked="0"/>
    </xf>
    <xf numFmtId="215" fontId="11" fillId="35" borderId="12" xfId="55" applyNumberFormat="1" applyFont="1" applyFill="1" applyBorder="1" applyAlignment="1" applyProtection="1">
      <alignment horizontal="right" vertical="center"/>
      <protection hidden="1" locked="0"/>
    </xf>
    <xf numFmtId="2" fontId="10" fillId="35" borderId="11" xfId="55" applyNumberFormat="1" applyFont="1" applyFill="1" applyBorder="1" applyAlignment="1" applyProtection="1">
      <alignment horizontal="right"/>
      <protection hidden="1"/>
    </xf>
    <xf numFmtId="214" fontId="10" fillId="35" borderId="11" xfId="55" applyNumberFormat="1" applyFont="1" applyFill="1" applyBorder="1" applyAlignment="1" applyProtection="1">
      <alignment horizontal="right"/>
      <protection hidden="1"/>
    </xf>
    <xf numFmtId="214" fontId="10" fillId="35" borderId="12" xfId="55" applyNumberFormat="1" applyFont="1" applyFill="1" applyBorder="1" applyAlignment="1" applyProtection="1">
      <alignment horizontal="right"/>
      <protection hidden="1"/>
    </xf>
    <xf numFmtId="214" fontId="11" fillId="35" borderId="11" xfId="55" applyNumberFormat="1" applyFont="1" applyFill="1" applyBorder="1" applyAlignment="1" applyProtection="1">
      <alignment horizontal="right"/>
      <protection hidden="1"/>
    </xf>
    <xf numFmtId="215" fontId="11" fillId="35" borderId="12" xfId="55" applyNumberFormat="1" applyFont="1" applyFill="1" applyBorder="1" applyAlignment="1" applyProtection="1">
      <alignment horizontal="right"/>
      <protection hidden="1" locked="0"/>
    </xf>
    <xf numFmtId="0" fontId="9" fillId="35" borderId="13" xfId="55" applyFont="1" applyFill="1" applyBorder="1" applyAlignment="1" applyProtection="1">
      <alignment horizontal="left" vertical="center" wrapText="1"/>
      <protection hidden="1"/>
    </xf>
    <xf numFmtId="2" fontId="10" fillId="35" borderId="11" xfId="55" applyNumberFormat="1" applyFont="1" applyFill="1" applyBorder="1" applyAlignment="1" applyProtection="1">
      <alignment horizontal="right" vertical="center"/>
      <protection hidden="1" locked="0"/>
    </xf>
    <xf numFmtId="214" fontId="10" fillId="35" borderId="11" xfId="55" applyNumberFormat="1" applyFont="1" applyFill="1" applyBorder="1" applyAlignment="1" applyProtection="1">
      <alignment horizontal="right" vertical="center"/>
      <protection hidden="1"/>
    </xf>
    <xf numFmtId="214" fontId="10" fillId="35" borderId="12" xfId="55" applyNumberFormat="1" applyFont="1" applyFill="1" applyBorder="1" applyAlignment="1" applyProtection="1">
      <alignment horizontal="right" vertical="center"/>
      <protection hidden="1"/>
    </xf>
    <xf numFmtId="215" fontId="11" fillId="35" borderId="11" xfId="55" applyNumberFormat="1" applyFont="1" applyFill="1" applyBorder="1" applyAlignment="1" applyProtection="1">
      <alignment horizontal="right"/>
      <protection hidden="1"/>
    </xf>
    <xf numFmtId="180" fontId="120" fillId="35" borderId="11" xfId="55" applyNumberFormat="1" applyFont="1" applyFill="1" applyBorder="1" applyAlignment="1" applyProtection="1">
      <alignment horizontal="right"/>
      <protection hidden="1"/>
    </xf>
    <xf numFmtId="215" fontId="11" fillId="35" borderId="12" xfId="55" applyNumberFormat="1" applyFont="1" applyFill="1" applyBorder="1" applyAlignment="1" applyProtection="1">
      <alignment horizontal="right"/>
      <protection hidden="1"/>
    </xf>
    <xf numFmtId="0" fontId="10" fillId="35" borderId="11" xfId="55" applyFont="1" applyFill="1" applyBorder="1" applyAlignment="1" applyProtection="1">
      <alignment horizontal="right"/>
      <protection hidden="1"/>
    </xf>
    <xf numFmtId="197" fontId="10" fillId="35" borderId="11" xfId="55" applyNumberFormat="1" applyFont="1" applyFill="1" applyBorder="1" applyAlignment="1" applyProtection="1">
      <alignment horizontal="right"/>
      <protection hidden="1"/>
    </xf>
    <xf numFmtId="197" fontId="10" fillId="35" borderId="12" xfId="55" applyNumberFormat="1" applyFont="1" applyFill="1" applyBorder="1" applyAlignment="1" applyProtection="1">
      <alignment horizontal="right"/>
      <protection hidden="1"/>
    </xf>
    <xf numFmtId="1" fontId="10" fillId="35" borderId="11" xfId="55" applyNumberFormat="1" applyFont="1" applyFill="1" applyBorder="1" applyAlignment="1" applyProtection="1">
      <alignment horizontal="right"/>
      <protection hidden="1" locked="0"/>
    </xf>
    <xf numFmtId="0" fontId="10" fillId="35" borderId="11" xfId="55" applyFont="1" applyFill="1" applyBorder="1" applyAlignment="1" applyProtection="1">
      <alignment horizontal="right"/>
      <protection hidden="1" locked="0"/>
    </xf>
    <xf numFmtId="1" fontId="10" fillId="35" borderId="11" xfId="55" applyNumberFormat="1" applyFont="1" applyFill="1" applyBorder="1" applyAlignment="1" applyProtection="1">
      <alignment horizontal="right" vertical="center"/>
      <protection hidden="1" locked="0"/>
    </xf>
    <xf numFmtId="0" fontId="9" fillId="35" borderId="13" xfId="55" applyFont="1" applyFill="1" applyBorder="1" applyAlignment="1" applyProtection="1">
      <alignment horizontal="left" vertical="top" wrapText="1" indent="3"/>
      <protection hidden="1"/>
    </xf>
    <xf numFmtId="1" fontId="10" fillId="35" borderId="11" xfId="55" applyNumberFormat="1" applyFont="1" applyFill="1" applyBorder="1" applyAlignment="1" applyProtection="1">
      <alignment/>
      <protection hidden="1" locked="0"/>
    </xf>
    <xf numFmtId="0" fontId="10" fillId="35" borderId="11" xfId="55" applyFont="1" applyFill="1" applyBorder="1" applyAlignment="1" applyProtection="1">
      <alignment/>
      <protection hidden="1" locked="0"/>
    </xf>
    <xf numFmtId="1" fontId="10" fillId="35" borderId="11" xfId="55" applyNumberFormat="1" applyFont="1" applyFill="1" applyBorder="1" applyAlignment="1" applyProtection="1">
      <alignment/>
      <protection hidden="1"/>
    </xf>
    <xf numFmtId="0" fontId="10" fillId="35" borderId="11" xfId="55" applyFont="1" applyFill="1" applyBorder="1" applyAlignment="1" applyProtection="1">
      <alignment/>
      <protection hidden="1"/>
    </xf>
    <xf numFmtId="216" fontId="10" fillId="35" borderId="11" xfId="55" applyNumberFormat="1" applyFont="1" applyFill="1" applyBorder="1" applyAlignment="1" applyProtection="1">
      <alignment/>
      <protection hidden="1" locked="0"/>
    </xf>
    <xf numFmtId="216" fontId="10" fillId="35" borderId="12" xfId="55" applyNumberFormat="1" applyFont="1" applyFill="1" applyBorder="1" applyAlignment="1" applyProtection="1">
      <alignment/>
      <protection hidden="1" locked="0"/>
    </xf>
    <xf numFmtId="0" fontId="10" fillId="35" borderId="12" xfId="55" applyFont="1" applyFill="1" applyBorder="1" applyAlignment="1" applyProtection="1">
      <alignment/>
      <protection hidden="1"/>
    </xf>
    <xf numFmtId="0" fontId="10" fillId="35" borderId="12" xfId="55" applyFont="1" applyFill="1" applyBorder="1" applyAlignment="1" applyProtection="1">
      <alignment horizontal="right"/>
      <protection hidden="1"/>
    </xf>
    <xf numFmtId="180" fontId="10" fillId="0" borderId="12" xfId="55" applyNumberFormat="1" applyFont="1" applyFill="1" applyBorder="1" applyProtection="1">
      <alignment/>
      <protection hidden="1" locked="0"/>
    </xf>
    <xf numFmtId="2" fontId="10" fillId="0" borderId="12" xfId="55" applyNumberFormat="1" applyFont="1" applyFill="1" applyBorder="1" applyProtection="1">
      <alignment/>
      <protection hidden="1" locked="0"/>
    </xf>
    <xf numFmtId="1" fontId="10" fillId="0" borderId="12" xfId="55" applyNumberFormat="1" applyFont="1" applyFill="1" applyBorder="1" applyAlignment="1" applyProtection="1">
      <alignment horizontal="right"/>
      <protection hidden="1" locked="0"/>
    </xf>
    <xf numFmtId="3" fontId="19" fillId="0" borderId="12" xfId="55" applyNumberFormat="1" applyFont="1" applyFill="1" applyBorder="1" applyAlignment="1" applyProtection="1">
      <alignment horizontal="right" vertical="center"/>
      <protection locked="0"/>
    </xf>
    <xf numFmtId="215" fontId="35" fillId="0" borderId="12" xfId="55" applyNumberFormat="1" applyFont="1" applyFill="1" applyBorder="1" applyAlignment="1" applyProtection="1">
      <alignment horizontal="right"/>
      <protection hidden="1" locked="0"/>
    </xf>
    <xf numFmtId="2" fontId="10" fillId="0" borderId="12" xfId="55" applyNumberFormat="1" applyFont="1" applyFill="1" applyBorder="1" applyProtection="1">
      <alignment/>
      <protection hidden="1" locked="0"/>
    </xf>
    <xf numFmtId="214" fontId="10" fillId="0" borderId="12" xfId="55" applyNumberFormat="1" applyFont="1" applyFill="1" applyBorder="1" applyAlignment="1" applyProtection="1">
      <alignment horizontal="right"/>
      <protection hidden="1" locked="0"/>
    </xf>
    <xf numFmtId="2" fontId="10" fillId="0" borderId="12" xfId="55" applyNumberFormat="1" applyFont="1" applyFill="1" applyBorder="1" applyAlignment="1" applyProtection="1">
      <alignment horizontal="right" vertical="center"/>
      <protection hidden="1" locked="0"/>
    </xf>
    <xf numFmtId="214" fontId="10" fillId="0" borderId="12" xfId="55" applyNumberFormat="1" applyFont="1" applyFill="1" applyBorder="1" applyAlignment="1" applyProtection="1">
      <alignment horizontal="right" vertical="center"/>
      <protection hidden="1" locked="0"/>
    </xf>
    <xf numFmtId="9" fontId="11" fillId="0" borderId="12" xfId="55" applyNumberFormat="1" applyFont="1" applyFill="1" applyBorder="1" applyAlignment="1" applyProtection="1">
      <alignment horizontal="right" vertical="center"/>
      <protection hidden="1" locked="0"/>
    </xf>
    <xf numFmtId="1" fontId="107" fillId="0" borderId="12" xfId="55" applyNumberFormat="1" applyFont="1" applyFill="1" applyBorder="1" applyAlignment="1" applyProtection="1">
      <alignment horizontal="right"/>
      <protection hidden="1" locked="0"/>
    </xf>
    <xf numFmtId="1" fontId="10" fillId="0" borderId="12" xfId="55" applyNumberFormat="1" applyFont="1" applyFill="1" applyBorder="1" applyAlignment="1" applyProtection="1">
      <alignment horizontal="right" vertical="center"/>
      <protection hidden="1" locked="0"/>
    </xf>
    <xf numFmtId="1" fontId="10" fillId="0" borderId="12" xfId="55" applyNumberFormat="1" applyFont="1" applyFill="1" applyBorder="1" applyAlignment="1" applyProtection="1">
      <alignment horizontal="center" vertical="center"/>
      <protection hidden="1" locked="0"/>
    </xf>
    <xf numFmtId="49" fontId="11" fillId="0" borderId="12" xfId="55" applyNumberFormat="1" applyFont="1" applyFill="1" applyBorder="1" applyAlignment="1" applyProtection="1">
      <alignment horizontal="right" vertical="center"/>
      <protection hidden="1" locked="0"/>
    </xf>
    <xf numFmtId="215" fontId="21" fillId="0" borderId="12" xfId="55" applyNumberFormat="1" applyFont="1" applyFill="1" applyBorder="1" applyAlignment="1" applyProtection="1">
      <alignment horizontal="right"/>
      <protection hidden="1" locked="0"/>
    </xf>
    <xf numFmtId="197" fontId="21" fillId="0" borderId="12" xfId="55" applyNumberFormat="1" applyFont="1" applyFill="1" applyBorder="1" applyAlignment="1">
      <alignment horizontal="right" vertical="top" wrapText="1"/>
      <protection/>
    </xf>
    <xf numFmtId="197" fontId="21" fillId="0" borderId="11" xfId="55" applyNumberFormat="1" applyFont="1" applyFill="1" applyBorder="1" applyProtection="1">
      <alignment/>
      <protection hidden="1"/>
    </xf>
    <xf numFmtId="215" fontId="21" fillId="0" borderId="12" xfId="55" applyNumberFormat="1" applyFont="1" applyFill="1" applyBorder="1" applyProtection="1">
      <alignment/>
      <protection hidden="1"/>
    </xf>
    <xf numFmtId="182" fontId="21" fillId="0" borderId="12" xfId="55" applyNumberFormat="1" applyFont="1" applyFill="1" applyBorder="1" applyAlignment="1" applyProtection="1">
      <alignment horizontal="right"/>
      <protection hidden="1" locked="0"/>
    </xf>
    <xf numFmtId="0" fontId="21" fillId="0" borderId="12" xfId="55" applyFont="1" applyFill="1" applyBorder="1" applyAlignment="1" applyProtection="1">
      <alignment horizontal="right"/>
      <protection hidden="1"/>
    </xf>
    <xf numFmtId="215" fontId="21" fillId="0" borderId="34" xfId="55" applyNumberFormat="1" applyFont="1" applyFill="1" applyBorder="1" applyAlignment="1" applyProtection="1">
      <alignment horizontal="right"/>
      <protection hidden="1" locked="0"/>
    </xf>
    <xf numFmtId="198" fontId="10" fillId="0" borderId="12" xfId="55" applyNumberFormat="1" applyFont="1" applyFill="1" applyBorder="1" applyAlignment="1" applyProtection="1">
      <alignment horizontal="center"/>
      <protection hidden="1" locked="0"/>
    </xf>
    <xf numFmtId="215" fontId="11" fillId="0" borderId="12" xfId="55" applyNumberFormat="1" applyFont="1" applyFill="1" applyBorder="1" applyAlignment="1" applyProtection="1">
      <alignment horizontal="center" vertical="center"/>
      <protection hidden="1"/>
    </xf>
    <xf numFmtId="4" fontId="10" fillId="0" borderId="12" xfId="55" applyNumberFormat="1" applyFont="1" applyFill="1" applyBorder="1" applyProtection="1">
      <alignment/>
      <protection hidden="1"/>
    </xf>
    <xf numFmtId="180" fontId="11" fillId="0" borderId="12" xfId="55" applyNumberFormat="1" applyFont="1" applyFill="1" applyBorder="1" applyAlignment="1" applyProtection="1">
      <alignment vertical="center"/>
      <protection hidden="1"/>
    </xf>
    <xf numFmtId="214" fontId="11" fillId="0" borderId="12" xfId="55" applyNumberFormat="1" applyFont="1" applyFill="1" applyBorder="1" applyAlignment="1" applyProtection="1">
      <alignment horizontal="right"/>
      <protection hidden="1"/>
    </xf>
    <xf numFmtId="214" fontId="10" fillId="0" borderId="12" xfId="55" applyNumberFormat="1" applyFont="1" applyFill="1" applyBorder="1" applyAlignment="1" applyProtection="1">
      <alignment horizontal="right"/>
      <protection hidden="1"/>
    </xf>
    <xf numFmtId="197" fontId="10" fillId="0" borderId="12" xfId="55" applyNumberFormat="1" applyFont="1" applyFill="1" applyBorder="1" applyProtection="1">
      <alignment/>
      <protection hidden="1" locked="0"/>
    </xf>
    <xf numFmtId="4" fontId="11" fillId="0" borderId="11" xfId="55" applyNumberFormat="1" applyFont="1" applyFill="1" applyBorder="1" applyAlignment="1" applyProtection="1">
      <alignment vertical="center"/>
      <protection hidden="1"/>
    </xf>
    <xf numFmtId="4" fontId="11" fillId="0" borderId="12" xfId="55" applyNumberFormat="1" applyFont="1" applyFill="1" applyBorder="1" applyAlignment="1" applyProtection="1">
      <alignment vertical="center"/>
      <protection hidden="1"/>
    </xf>
    <xf numFmtId="2" fontId="11" fillId="0" borderId="12" xfId="55" applyNumberFormat="1" applyFont="1" applyFill="1" applyBorder="1" applyAlignment="1" applyProtection="1">
      <alignment vertical="center"/>
      <protection hidden="1" locked="0"/>
    </xf>
    <xf numFmtId="0" fontId="10" fillId="0" borderId="12" xfId="55" applyFont="1" applyFill="1" applyBorder="1" applyAlignment="1" applyProtection="1">
      <alignment vertical="center"/>
      <protection hidden="1" locked="0"/>
    </xf>
    <xf numFmtId="0" fontId="10" fillId="0" borderId="12" xfId="55" applyFont="1" applyFill="1" applyBorder="1" applyProtection="1">
      <alignment/>
      <protection hidden="1" locked="0"/>
    </xf>
    <xf numFmtId="0" fontId="15" fillId="0" borderId="12" xfId="55" applyFont="1" applyFill="1" applyBorder="1" applyAlignment="1" applyProtection="1">
      <alignment horizontal="right"/>
      <protection hidden="1"/>
    </xf>
    <xf numFmtId="214" fontId="10" fillId="0" borderId="12" xfId="55" applyNumberFormat="1" applyFont="1" applyFill="1" applyBorder="1" applyProtection="1">
      <alignment/>
      <protection hidden="1"/>
    </xf>
    <xf numFmtId="214" fontId="102" fillId="35" borderId="11" xfId="55" applyNumberFormat="1" applyFont="1" applyFill="1" applyBorder="1" applyProtection="1">
      <alignment/>
      <protection hidden="1"/>
    </xf>
    <xf numFmtId="214" fontId="119" fillId="35" borderId="11" xfId="55" applyNumberFormat="1" applyFont="1" applyFill="1" applyBorder="1" applyAlignment="1" applyProtection="1">
      <alignment horizontal="right"/>
      <protection hidden="1"/>
    </xf>
    <xf numFmtId="180" fontId="0" fillId="0" borderId="11" xfId="55" applyNumberFormat="1" applyFont="1" applyFill="1" applyBorder="1" applyAlignment="1">
      <alignment vertical="center"/>
      <protection/>
    </xf>
    <xf numFmtId="0" fontId="0" fillId="0" borderId="12" xfId="55" applyFont="1" applyFill="1" applyBorder="1" applyAlignment="1">
      <alignment vertical="center"/>
      <protection/>
    </xf>
    <xf numFmtId="0" fontId="121" fillId="0" borderId="0" xfId="55" applyFont="1" applyFill="1" applyBorder="1" applyAlignment="1">
      <alignment horizontal="center" vertical="center"/>
      <protection/>
    </xf>
    <xf numFmtId="0" fontId="121" fillId="0" borderId="0" xfId="55" applyFont="1" applyFill="1" applyAlignment="1" applyProtection="1">
      <alignment horizontal="center" vertical="center"/>
      <protection hidden="1"/>
    </xf>
    <xf numFmtId="198" fontId="0" fillId="0" borderId="0" xfId="55" applyNumberFormat="1" applyFont="1" applyFill="1" applyProtection="1">
      <alignment/>
      <protection hidden="1"/>
    </xf>
    <xf numFmtId="0" fontId="10" fillId="0" borderId="11" xfId="55" applyFont="1" applyFill="1" applyBorder="1" applyAlignment="1" applyProtection="1">
      <alignment/>
      <protection hidden="1" locked="0"/>
    </xf>
    <xf numFmtId="1" fontId="10" fillId="0" borderId="11" xfId="55" applyNumberFormat="1" applyFont="1" applyFill="1" applyBorder="1" applyAlignment="1" applyProtection="1">
      <alignment/>
      <protection hidden="1"/>
    </xf>
    <xf numFmtId="180" fontId="10" fillId="35" borderId="11" xfId="55" applyNumberFormat="1" applyFont="1" applyFill="1" applyBorder="1" applyAlignment="1" applyProtection="1">
      <alignment horizontal="right" vertical="center"/>
      <protection hidden="1" locked="0"/>
    </xf>
    <xf numFmtId="0" fontId="40" fillId="0" borderId="82" xfId="0" applyFont="1" applyBorder="1" applyAlignment="1">
      <alignment horizontal="center" vertical="top" wrapText="1"/>
    </xf>
    <xf numFmtId="0" fontId="40" fillId="0" borderId="83" xfId="0" applyFont="1" applyBorder="1" applyAlignment="1">
      <alignment horizontal="center" vertical="top" wrapText="1"/>
    </xf>
    <xf numFmtId="0" fontId="40" fillId="0" borderId="84" xfId="0" applyFont="1" applyBorder="1" applyAlignment="1">
      <alignment horizontal="center" vertical="top" wrapText="1"/>
    </xf>
    <xf numFmtId="0" fontId="40" fillId="0" borderId="85" xfId="0" applyFont="1" applyBorder="1" applyAlignment="1">
      <alignment horizontal="center" vertical="top" wrapText="1"/>
    </xf>
    <xf numFmtId="197" fontId="10" fillId="0" borderId="11" xfId="55" applyNumberFormat="1" applyFont="1" applyFill="1" applyBorder="1" applyAlignment="1" applyProtection="1">
      <alignment/>
      <protection hidden="1"/>
    </xf>
    <xf numFmtId="198" fontId="28" fillId="0" borderId="0" xfId="55" applyNumberFormat="1" applyFont="1" applyFill="1" applyBorder="1" applyAlignment="1" applyProtection="1">
      <alignment horizontal="center" vertical="center"/>
      <protection hidden="1" locked="0"/>
    </xf>
    <xf numFmtId="198" fontId="28" fillId="0" borderId="0" xfId="55" applyNumberFormat="1" applyFont="1" applyFill="1" applyBorder="1" applyAlignment="1" applyProtection="1">
      <alignment horizontal="center" vertical="center"/>
      <protection hidden="1"/>
    </xf>
    <xf numFmtId="197" fontId="28" fillId="0" borderId="0" xfId="55" applyNumberFormat="1" applyFont="1" applyFill="1" applyBorder="1" applyAlignment="1" applyProtection="1">
      <alignment horizontal="center" vertical="center"/>
      <protection hidden="1"/>
    </xf>
    <xf numFmtId="198" fontId="38" fillId="0" borderId="0" xfId="55" applyNumberFormat="1" applyFont="1" applyFill="1" applyBorder="1" applyAlignment="1" applyProtection="1">
      <alignment horizontal="center" vertical="center"/>
      <protection hidden="1"/>
    </xf>
    <xf numFmtId="198" fontId="10" fillId="0" borderId="0" xfId="55" applyNumberFormat="1" applyFont="1" applyFill="1" applyBorder="1" applyAlignment="1" applyProtection="1">
      <alignment horizontal="center"/>
      <protection hidden="1" locked="0"/>
    </xf>
    <xf numFmtId="0" fontId="10" fillId="0" borderId="12" xfId="55" applyFont="1" applyFill="1" applyBorder="1" applyAlignment="1" applyProtection="1">
      <alignment/>
      <protection hidden="1" locked="0"/>
    </xf>
    <xf numFmtId="197" fontId="10" fillId="0" borderId="12" xfId="55" applyNumberFormat="1" applyFont="1" applyFill="1" applyBorder="1" applyAlignment="1" applyProtection="1">
      <alignment/>
      <protection hidden="1"/>
    </xf>
    <xf numFmtId="1" fontId="10" fillId="35" borderId="13" xfId="55" applyNumberFormat="1" applyFont="1" applyFill="1" applyBorder="1" applyAlignment="1" applyProtection="1">
      <alignment horizontal="right" vertical="center"/>
      <protection hidden="1" locked="0"/>
    </xf>
    <xf numFmtId="180" fontId="10" fillId="35" borderId="12" xfId="55" applyNumberFormat="1" applyFont="1" applyFill="1" applyBorder="1" applyAlignment="1" applyProtection="1">
      <alignment horizontal="right" vertical="center"/>
      <protection hidden="1" locked="0"/>
    </xf>
    <xf numFmtId="3" fontId="107" fillId="0" borderId="12" xfId="55" applyNumberFormat="1" applyFont="1" applyFill="1" applyBorder="1" applyAlignment="1" applyProtection="1">
      <alignment horizontal="right" vertical="center"/>
      <protection hidden="1" locked="0"/>
    </xf>
    <xf numFmtId="2" fontId="10" fillId="0" borderId="0" xfId="55" applyNumberFormat="1" applyFont="1" applyFill="1" applyBorder="1" applyAlignment="1" applyProtection="1">
      <alignment horizontal="left"/>
      <protection hidden="1"/>
    </xf>
    <xf numFmtId="0" fontId="9" fillId="0" borderId="16" xfId="55" applyFont="1" applyFill="1" applyBorder="1" applyAlignment="1" applyProtection="1">
      <alignment horizontal="left" vertical="top" wrapText="1" indent="3"/>
      <protection hidden="1"/>
    </xf>
    <xf numFmtId="0" fontId="9" fillId="0" borderId="56" xfId="55" applyFont="1" applyFill="1" applyBorder="1" applyAlignment="1" applyProtection="1">
      <alignment horizontal="center" vertical="center" wrapText="1"/>
      <protection hidden="1"/>
    </xf>
    <xf numFmtId="0" fontId="10" fillId="35" borderId="56" xfId="55" applyFont="1" applyFill="1" applyBorder="1" applyAlignment="1" applyProtection="1">
      <alignment/>
      <protection hidden="1"/>
    </xf>
    <xf numFmtId="0" fontId="10" fillId="35" borderId="56" xfId="55" applyFont="1" applyFill="1" applyBorder="1" applyAlignment="1" applyProtection="1">
      <alignment/>
      <protection hidden="1" locked="0"/>
    </xf>
    <xf numFmtId="0" fontId="10" fillId="0" borderId="56" xfId="55" applyFont="1" applyFill="1" applyBorder="1" applyAlignment="1" applyProtection="1">
      <alignment/>
      <protection hidden="1" locked="0"/>
    </xf>
    <xf numFmtId="0" fontId="10" fillId="0" borderId="55" xfId="55" applyFont="1" applyFill="1" applyBorder="1" applyAlignment="1" applyProtection="1">
      <alignment/>
      <protection hidden="1" locked="0"/>
    </xf>
    <xf numFmtId="0" fontId="13" fillId="35" borderId="41" xfId="55" applyFont="1" applyFill="1" applyBorder="1" applyAlignment="1" applyProtection="1">
      <alignment vertical="top" wrapText="1"/>
      <protection hidden="1"/>
    </xf>
    <xf numFmtId="0" fontId="9" fillId="35" borderId="42" xfId="55" applyFont="1" applyFill="1" applyBorder="1" applyAlignment="1" applyProtection="1">
      <alignment horizontal="center" vertical="center" wrapText="1"/>
      <protection hidden="1"/>
    </xf>
    <xf numFmtId="49" fontId="10" fillId="35" borderId="42" xfId="55" applyNumberFormat="1" applyFont="1" applyFill="1" applyBorder="1" applyAlignment="1" applyProtection="1">
      <alignment horizontal="right"/>
      <protection hidden="1" locked="0"/>
    </xf>
    <xf numFmtId="1" fontId="10" fillId="35" borderId="42" xfId="55" applyNumberFormat="1" applyFont="1" applyFill="1" applyBorder="1" applyAlignment="1" applyProtection="1">
      <alignment horizontal="right"/>
      <protection hidden="1" locked="0"/>
    </xf>
    <xf numFmtId="1" fontId="10" fillId="35" borderId="42" xfId="55" applyNumberFormat="1" applyFont="1" applyFill="1" applyBorder="1" applyAlignment="1" applyProtection="1">
      <alignment horizontal="right" vertical="center"/>
      <protection hidden="1" locked="0"/>
    </xf>
    <xf numFmtId="1" fontId="10" fillId="35" borderId="43" xfId="55" applyNumberFormat="1" applyFont="1" applyFill="1" applyBorder="1" applyAlignment="1" applyProtection="1">
      <alignment horizontal="right" vertical="center"/>
      <protection hidden="1" locked="0"/>
    </xf>
    <xf numFmtId="1" fontId="10" fillId="35" borderId="0" xfId="55" applyNumberFormat="1" applyFont="1" applyFill="1" applyBorder="1" applyAlignment="1" applyProtection="1">
      <alignment horizontal="right" vertical="center"/>
      <protection hidden="1" locked="0"/>
    </xf>
    <xf numFmtId="225" fontId="0" fillId="0" borderId="0" xfId="55" applyNumberFormat="1" applyFont="1" applyFill="1" applyBorder="1" applyProtection="1">
      <alignment/>
      <protection hidden="1"/>
    </xf>
    <xf numFmtId="0" fontId="28" fillId="0" borderId="0" xfId="55" applyFont="1" applyFill="1" applyBorder="1" applyAlignment="1">
      <alignment/>
      <protection/>
    </xf>
    <xf numFmtId="0" fontId="28" fillId="0" borderId="0" xfId="55" applyFont="1" applyFill="1" applyProtection="1">
      <alignment/>
      <protection hidden="1"/>
    </xf>
    <xf numFmtId="0" fontId="8" fillId="0" borderId="11" xfId="55" applyFont="1" applyFill="1" applyBorder="1" applyAlignment="1" applyProtection="1">
      <alignment horizontal="center" vertical="center" wrapText="1"/>
      <protection hidden="1"/>
    </xf>
    <xf numFmtId="0" fontId="28" fillId="0" borderId="0" xfId="55" applyFont="1" applyFill="1" applyProtection="1" quotePrefix="1">
      <alignment/>
      <protection hidden="1"/>
    </xf>
    <xf numFmtId="0" fontId="28" fillId="0" borderId="0" xfId="55" applyFont="1" applyFill="1" applyBorder="1" applyProtection="1">
      <alignment/>
      <protection hidden="1"/>
    </xf>
    <xf numFmtId="4" fontId="28" fillId="0" borderId="0" xfId="55" applyNumberFormat="1" applyFont="1" applyFill="1" applyProtection="1">
      <alignment/>
      <protection hidden="1"/>
    </xf>
    <xf numFmtId="0" fontId="28" fillId="0" borderId="12" xfId="55" applyFont="1" applyFill="1" applyBorder="1" applyProtection="1">
      <alignment/>
      <protection hidden="1"/>
    </xf>
    <xf numFmtId="4" fontId="28" fillId="0" borderId="0" xfId="55" applyNumberFormat="1" applyFont="1" applyFill="1" applyBorder="1" applyProtection="1">
      <alignment/>
      <protection hidden="1"/>
    </xf>
    <xf numFmtId="0" fontId="33" fillId="0" borderId="13" xfId="55" applyFont="1" applyFill="1" applyBorder="1" applyAlignment="1" applyProtection="1">
      <alignment horizontal="left" vertical="top" wrapText="1"/>
      <protection hidden="1"/>
    </xf>
    <xf numFmtId="0" fontId="33" fillId="0" borderId="11" xfId="55" applyFont="1" applyFill="1" applyBorder="1" applyAlignment="1" applyProtection="1">
      <alignment horizontal="center" vertical="center" wrapText="1"/>
      <protection hidden="1"/>
    </xf>
    <xf numFmtId="0" fontId="33" fillId="0" borderId="11" xfId="55" applyFont="1" applyFill="1" applyBorder="1" applyAlignment="1" applyProtection="1">
      <alignment horizontal="center"/>
      <protection hidden="1" locked="0"/>
    </xf>
    <xf numFmtId="2" fontId="33" fillId="0" borderId="11" xfId="55" applyNumberFormat="1" applyFont="1" applyFill="1" applyBorder="1" applyAlignment="1" applyProtection="1">
      <alignment horizontal="center"/>
      <protection hidden="1" locked="0"/>
    </xf>
    <xf numFmtId="198" fontId="33" fillId="0" borderId="11" xfId="55" applyNumberFormat="1" applyFont="1" applyFill="1" applyBorder="1" applyAlignment="1" applyProtection="1">
      <alignment horizontal="center"/>
      <protection hidden="1" locked="0"/>
    </xf>
    <xf numFmtId="198" fontId="33" fillId="0" borderId="12" xfId="55" applyNumberFormat="1" applyFont="1" applyFill="1" applyBorder="1" applyAlignment="1" applyProtection="1">
      <alignment horizontal="center"/>
      <protection hidden="1" locked="0"/>
    </xf>
    <xf numFmtId="198" fontId="33" fillId="0" borderId="0" xfId="55" applyNumberFormat="1" applyFont="1" applyFill="1" applyBorder="1" applyAlignment="1" applyProtection="1">
      <alignment horizontal="center" vertical="center"/>
      <protection hidden="1" locked="0"/>
    </xf>
    <xf numFmtId="198" fontId="33" fillId="0" borderId="0" xfId="55" applyNumberFormat="1" applyFont="1" applyFill="1" applyBorder="1" applyAlignment="1" applyProtection="1">
      <alignment horizontal="center" vertical="center"/>
      <protection hidden="1"/>
    </xf>
    <xf numFmtId="198" fontId="33" fillId="0" borderId="0" xfId="55" applyNumberFormat="1" applyFont="1" applyFill="1" applyProtection="1">
      <alignment/>
      <protection hidden="1"/>
    </xf>
    <xf numFmtId="0" fontId="33" fillId="0" borderId="0" xfId="55" applyFont="1" applyFill="1" applyProtection="1">
      <alignment/>
      <protection hidden="1"/>
    </xf>
    <xf numFmtId="180" fontId="47" fillId="0" borderId="11" xfId="55" applyNumberFormat="1" applyFont="1" applyFill="1" applyBorder="1" applyAlignment="1" applyProtection="1">
      <alignment horizontal="center"/>
      <protection hidden="1"/>
    </xf>
    <xf numFmtId="215" fontId="47" fillId="0" borderId="11" xfId="55" applyNumberFormat="1" applyFont="1" applyFill="1" applyBorder="1" applyAlignment="1" applyProtection="1">
      <alignment horizontal="center"/>
      <protection hidden="1"/>
    </xf>
    <xf numFmtId="215" fontId="47" fillId="0" borderId="11" xfId="55" applyNumberFormat="1" applyFont="1" applyFill="1" applyBorder="1" applyAlignment="1" applyProtection="1">
      <alignment horizontal="center" vertical="center"/>
      <protection hidden="1"/>
    </xf>
    <xf numFmtId="215" fontId="47" fillId="0" borderId="12" xfId="55" applyNumberFormat="1" applyFont="1" applyFill="1" applyBorder="1" applyAlignment="1" applyProtection="1">
      <alignment horizontal="center" vertical="center"/>
      <protection hidden="1"/>
    </xf>
    <xf numFmtId="215" fontId="47" fillId="0" borderId="0" xfId="55" applyNumberFormat="1" applyFont="1" applyFill="1" applyBorder="1" applyAlignment="1" applyProtection="1">
      <alignment horizontal="center" vertical="center"/>
      <protection hidden="1"/>
    </xf>
    <xf numFmtId="198" fontId="47" fillId="0" borderId="0" xfId="55" applyNumberFormat="1" applyFont="1" applyFill="1" applyBorder="1" applyAlignment="1" applyProtection="1">
      <alignment horizontal="center" vertical="center"/>
      <protection hidden="1"/>
    </xf>
    <xf numFmtId="197" fontId="33" fillId="0" borderId="0" xfId="55" applyNumberFormat="1" applyFont="1" applyFill="1" applyBorder="1" applyAlignment="1" applyProtection="1">
      <alignment horizontal="center" vertical="center"/>
      <protection hidden="1"/>
    </xf>
    <xf numFmtId="198" fontId="33" fillId="0" borderId="0" xfId="55" applyNumberFormat="1" applyFont="1" applyFill="1" applyBorder="1" applyAlignment="1" applyProtection="1">
      <alignment horizontal="center"/>
      <protection hidden="1" locked="0"/>
    </xf>
    <xf numFmtId="0" fontId="33" fillId="0" borderId="0" xfId="55" applyFont="1" applyFill="1" applyBorder="1" applyProtection="1">
      <alignment/>
      <protection hidden="1"/>
    </xf>
    <xf numFmtId="0" fontId="48" fillId="0" borderId="13" xfId="55" applyFont="1" applyFill="1" applyBorder="1" applyAlignment="1" applyProtection="1">
      <alignment horizontal="left" vertical="top" wrapText="1"/>
      <protection hidden="1"/>
    </xf>
    <xf numFmtId="0" fontId="33" fillId="0" borderId="11" xfId="55" applyFont="1" applyFill="1" applyBorder="1" applyAlignment="1">
      <alignment/>
      <protection/>
    </xf>
    <xf numFmtId="0" fontId="33" fillId="0" borderId="0" xfId="55" applyFont="1" applyFill="1" applyBorder="1" applyAlignment="1">
      <alignment horizontal="center" vertical="center"/>
      <protection/>
    </xf>
    <xf numFmtId="0" fontId="33" fillId="0" borderId="0" xfId="55" applyFont="1" applyFill="1" applyBorder="1" applyAlignment="1" applyProtection="1">
      <alignment horizontal="center" vertical="center"/>
      <protection hidden="1"/>
    </xf>
    <xf numFmtId="2" fontId="33" fillId="0" borderId="0" xfId="55" applyNumberFormat="1" applyFont="1" applyFill="1" applyBorder="1" applyProtection="1">
      <alignment/>
      <protection hidden="1"/>
    </xf>
    <xf numFmtId="0" fontId="33" fillId="0" borderId="13" xfId="55" applyFont="1" applyFill="1" applyBorder="1" applyAlignment="1" applyProtection="1">
      <alignment horizontal="left" vertical="center" wrapText="1"/>
      <protection hidden="1"/>
    </xf>
    <xf numFmtId="2" fontId="33" fillId="0" borderId="11" xfId="55" applyNumberFormat="1" applyFont="1" applyFill="1" applyBorder="1" applyProtection="1">
      <alignment/>
      <protection hidden="1"/>
    </xf>
    <xf numFmtId="4" fontId="33" fillId="0" borderId="11" xfId="55" applyNumberFormat="1" applyFont="1" applyFill="1" applyBorder="1" applyProtection="1">
      <alignment/>
      <protection hidden="1"/>
    </xf>
    <xf numFmtId="4" fontId="33" fillId="0" borderId="12" xfId="55" applyNumberFormat="1" applyFont="1" applyFill="1" applyBorder="1" applyProtection="1">
      <alignment/>
      <protection hidden="1"/>
    </xf>
    <xf numFmtId="4" fontId="33" fillId="0" borderId="0" xfId="55" applyNumberFormat="1" applyFont="1" applyFill="1" applyBorder="1" applyAlignment="1" applyProtection="1">
      <alignment horizontal="center" vertical="center"/>
      <protection hidden="1"/>
    </xf>
    <xf numFmtId="2" fontId="33" fillId="0" borderId="0" xfId="55" applyNumberFormat="1" applyFont="1" applyFill="1" applyBorder="1" applyAlignment="1" applyProtection="1">
      <alignment horizontal="left"/>
      <protection hidden="1"/>
    </xf>
    <xf numFmtId="2" fontId="33" fillId="0" borderId="0" xfId="55" applyNumberFormat="1" applyFont="1" applyFill="1" applyBorder="1" applyAlignment="1" applyProtection="1">
      <alignment horizontal="center"/>
      <protection hidden="1"/>
    </xf>
    <xf numFmtId="4" fontId="33" fillId="0" borderId="0" xfId="55" applyNumberFormat="1" applyFont="1" applyFill="1" applyProtection="1">
      <alignment/>
      <protection hidden="1"/>
    </xf>
    <xf numFmtId="180" fontId="47" fillId="0" borderId="11" xfId="55" applyNumberFormat="1" applyFont="1" applyFill="1" applyBorder="1" applyProtection="1">
      <alignment/>
      <protection hidden="1"/>
    </xf>
    <xf numFmtId="180" fontId="47" fillId="0" borderId="11" xfId="55" applyNumberFormat="1" applyFont="1" applyFill="1" applyBorder="1" applyAlignment="1" applyProtection="1">
      <alignment vertical="center"/>
      <protection hidden="1"/>
    </xf>
    <xf numFmtId="180" fontId="47" fillId="0" borderId="12" xfId="55" applyNumberFormat="1" applyFont="1" applyFill="1" applyBorder="1" applyAlignment="1" applyProtection="1">
      <alignment vertical="center"/>
      <protection hidden="1"/>
    </xf>
    <xf numFmtId="191" fontId="47" fillId="0" borderId="0" xfId="55" applyNumberFormat="1" applyFont="1" applyFill="1" applyBorder="1" applyAlignment="1" applyProtection="1">
      <alignment horizontal="center" vertical="center"/>
      <protection hidden="1"/>
    </xf>
    <xf numFmtId="197" fontId="33" fillId="0" borderId="0" xfId="55" applyNumberFormat="1" applyFont="1" applyFill="1" applyProtection="1">
      <alignment/>
      <protection hidden="1"/>
    </xf>
    <xf numFmtId="226" fontId="33" fillId="0" borderId="0" xfId="55" applyNumberFormat="1" applyFont="1" applyFill="1" applyBorder="1" applyAlignment="1" applyProtection="1">
      <alignment horizontal="center" vertical="center"/>
      <protection hidden="1"/>
    </xf>
    <xf numFmtId="0" fontId="33" fillId="0" borderId="0" xfId="55" applyFont="1" applyFill="1" applyAlignment="1" applyProtection="1">
      <alignment horizontal="center" vertical="center"/>
      <protection hidden="1"/>
    </xf>
    <xf numFmtId="2" fontId="47" fillId="0" borderId="11" xfId="55" applyNumberFormat="1" applyFont="1" applyFill="1" applyBorder="1" applyProtection="1">
      <alignment/>
      <protection hidden="1"/>
    </xf>
    <xf numFmtId="214" fontId="47" fillId="0" borderId="11" xfId="55" applyNumberFormat="1" applyFont="1" applyFill="1" applyBorder="1" applyAlignment="1" applyProtection="1">
      <alignment horizontal="right"/>
      <protection hidden="1"/>
    </xf>
    <xf numFmtId="214" fontId="47" fillId="0" borderId="12" xfId="55" applyNumberFormat="1" applyFont="1" applyFill="1" applyBorder="1" applyAlignment="1" applyProtection="1">
      <alignment horizontal="right"/>
      <protection hidden="1"/>
    </xf>
    <xf numFmtId="226" fontId="47" fillId="0" borderId="0" xfId="55" applyNumberFormat="1" applyFont="1" applyFill="1" applyBorder="1" applyAlignment="1" applyProtection="1">
      <alignment horizontal="center" vertical="center"/>
      <protection hidden="1"/>
    </xf>
    <xf numFmtId="191" fontId="33" fillId="0" borderId="0" xfId="55" applyNumberFormat="1" applyFont="1" applyFill="1" applyBorder="1" applyAlignment="1" applyProtection="1">
      <alignment horizontal="center" vertical="center"/>
      <protection hidden="1"/>
    </xf>
    <xf numFmtId="2" fontId="47" fillId="0" borderId="11" xfId="55" applyNumberFormat="1" applyFont="1" applyFill="1" applyBorder="1" applyAlignment="1" applyProtection="1">
      <alignment vertical="center"/>
      <protection hidden="1"/>
    </xf>
    <xf numFmtId="214" fontId="47" fillId="0" borderId="11" xfId="55" applyNumberFormat="1" applyFont="1" applyFill="1" applyBorder="1" applyAlignment="1" applyProtection="1">
      <alignment horizontal="right" vertical="center"/>
      <protection hidden="1"/>
    </xf>
    <xf numFmtId="4" fontId="47" fillId="0" borderId="11" xfId="55" applyNumberFormat="1" applyFont="1" applyFill="1" applyBorder="1" applyAlignment="1" applyProtection="1">
      <alignment vertical="center"/>
      <protection hidden="1"/>
    </xf>
    <xf numFmtId="4" fontId="47" fillId="0" borderId="12" xfId="55" applyNumberFormat="1" applyFont="1" applyFill="1" applyBorder="1" applyAlignment="1" applyProtection="1">
      <alignment vertical="center"/>
      <protection hidden="1"/>
    </xf>
    <xf numFmtId="4" fontId="47" fillId="0" borderId="0" xfId="55" applyNumberFormat="1" applyFont="1" applyFill="1" applyBorder="1" applyAlignment="1" applyProtection="1">
      <alignment horizontal="center" vertical="center"/>
      <protection hidden="1"/>
    </xf>
    <xf numFmtId="0" fontId="33" fillId="0" borderId="13" xfId="55" applyFont="1" applyFill="1" applyBorder="1" applyAlignment="1" applyProtection="1">
      <alignment horizontal="left" vertical="top" wrapText="1"/>
      <protection/>
    </xf>
    <xf numFmtId="0" fontId="33" fillId="0" borderId="11" xfId="55" applyFont="1" applyFill="1" applyBorder="1" applyAlignment="1" applyProtection="1">
      <alignment horizontal="center" vertical="center" wrapText="1"/>
      <protection/>
    </xf>
    <xf numFmtId="2" fontId="33" fillId="0" borderId="11" xfId="55" applyNumberFormat="1" applyFont="1" applyFill="1" applyBorder="1" applyProtection="1">
      <alignment/>
      <protection hidden="1" locked="0"/>
    </xf>
    <xf numFmtId="2" fontId="33" fillId="0" borderId="12" xfId="55" applyNumberFormat="1" applyFont="1" applyFill="1" applyBorder="1" applyProtection="1">
      <alignment/>
      <protection hidden="1" locked="0"/>
    </xf>
    <xf numFmtId="2" fontId="33" fillId="0" borderId="0" xfId="55" applyNumberFormat="1" applyFont="1" applyFill="1" applyBorder="1" applyAlignment="1" applyProtection="1">
      <alignment horizontal="center" vertical="center"/>
      <protection hidden="1" locked="0"/>
    </xf>
    <xf numFmtId="2" fontId="47" fillId="0" borderId="11" xfId="55" applyNumberFormat="1" applyFont="1" applyFill="1" applyBorder="1" applyProtection="1">
      <alignment/>
      <protection hidden="1" locked="0"/>
    </xf>
    <xf numFmtId="2" fontId="47" fillId="0" borderId="11" xfId="55" applyNumberFormat="1" applyFont="1" applyFill="1" applyBorder="1" applyAlignment="1" applyProtection="1">
      <alignment vertical="center"/>
      <protection hidden="1" locked="0"/>
    </xf>
    <xf numFmtId="2" fontId="47" fillId="0" borderId="12" xfId="55" applyNumberFormat="1" applyFont="1" applyFill="1" applyBorder="1" applyAlignment="1" applyProtection="1">
      <alignment vertical="center"/>
      <protection hidden="1" locked="0"/>
    </xf>
    <xf numFmtId="2" fontId="4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33" fillId="0" borderId="13" xfId="55" applyFont="1" applyFill="1" applyBorder="1" applyAlignment="1" applyProtection="1">
      <alignment horizontal="left" vertical="center" wrapText="1"/>
      <protection/>
    </xf>
    <xf numFmtId="2" fontId="33" fillId="0" borderId="11" xfId="55" applyNumberFormat="1" applyFont="1" applyFill="1" applyBorder="1" applyAlignment="1" applyProtection="1">
      <alignment horizontal="right" vertical="center"/>
      <protection hidden="1" locked="0"/>
    </xf>
    <xf numFmtId="2" fontId="33" fillId="0" borderId="11" xfId="55" applyNumberFormat="1" applyFont="1" applyFill="1" applyBorder="1" applyAlignment="1" applyProtection="1">
      <alignment vertical="center"/>
      <protection hidden="1" locked="0"/>
    </xf>
    <xf numFmtId="214" fontId="33" fillId="0" borderId="11" xfId="55" applyNumberFormat="1" applyFont="1" applyFill="1" applyBorder="1" applyAlignment="1" applyProtection="1">
      <alignment vertical="center"/>
      <protection hidden="1" locked="0"/>
    </xf>
    <xf numFmtId="2" fontId="33" fillId="0" borderId="12" xfId="55" applyNumberFormat="1" applyFont="1" applyFill="1" applyBorder="1" applyAlignment="1" applyProtection="1">
      <alignment vertical="center"/>
      <protection hidden="1" locked="0"/>
    </xf>
    <xf numFmtId="2" fontId="33" fillId="0" borderId="0" xfId="55" applyNumberFormat="1" applyFont="1" applyFill="1" applyBorder="1" applyAlignment="1" applyProtection="1">
      <alignment horizontal="left" vertical="center"/>
      <protection hidden="1" locked="0"/>
    </xf>
    <xf numFmtId="215" fontId="47" fillId="0" borderId="11" xfId="55" applyNumberFormat="1" applyFont="1" applyFill="1" applyBorder="1" applyAlignment="1" applyProtection="1">
      <alignment horizontal="right" vertical="center"/>
      <protection hidden="1" locked="0"/>
    </xf>
    <xf numFmtId="0" fontId="33" fillId="0" borderId="11" xfId="55" applyFont="1" applyFill="1" applyBorder="1" applyProtection="1">
      <alignment/>
      <protection hidden="1" locked="0"/>
    </xf>
    <xf numFmtId="0" fontId="33" fillId="0" borderId="11" xfId="55" applyFont="1" applyFill="1" applyBorder="1" applyAlignment="1" applyProtection="1">
      <alignment vertical="center"/>
      <protection hidden="1" locked="0"/>
    </xf>
    <xf numFmtId="0" fontId="33" fillId="0" borderId="12" xfId="55" applyFont="1" applyFill="1" applyBorder="1" applyAlignment="1" applyProtection="1">
      <alignment vertical="center"/>
      <protection hidden="1" locked="0"/>
    </xf>
    <xf numFmtId="0" fontId="33" fillId="0" borderId="0" xfId="55" applyFont="1" applyFill="1" applyBorder="1" applyAlignment="1" applyProtection="1">
      <alignment horizontal="center" vertical="center"/>
      <protection hidden="1" locked="0"/>
    </xf>
    <xf numFmtId="0" fontId="33" fillId="0" borderId="12" xfId="55" applyFont="1" applyFill="1" applyBorder="1" applyProtection="1">
      <alignment/>
      <protection hidden="1" locked="0"/>
    </xf>
    <xf numFmtId="0" fontId="33" fillId="0" borderId="11" xfId="55" applyFont="1" applyFill="1" applyBorder="1" applyAlignment="1" applyProtection="1">
      <alignment horizontal="right"/>
      <protection hidden="1"/>
    </xf>
    <xf numFmtId="0" fontId="33" fillId="0" borderId="12" xfId="55" applyFont="1" applyFill="1" applyBorder="1" applyAlignment="1" applyProtection="1">
      <alignment horizontal="right"/>
      <protection hidden="1"/>
    </xf>
    <xf numFmtId="1" fontId="33" fillId="0" borderId="11" xfId="55" applyNumberFormat="1" applyFont="1" applyFill="1" applyBorder="1" applyAlignment="1" applyProtection="1">
      <alignment horizontal="right" vertical="center"/>
      <protection hidden="1" locked="0"/>
    </xf>
    <xf numFmtId="1" fontId="33" fillId="0" borderId="12" xfId="55" applyNumberFormat="1" applyFont="1" applyFill="1" applyBorder="1" applyAlignment="1" applyProtection="1">
      <alignment horizontal="right" vertical="center"/>
      <protection hidden="1" locked="0"/>
    </xf>
    <xf numFmtId="1" fontId="33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33" fillId="0" borderId="11" xfId="55" applyFont="1" applyFill="1" applyBorder="1" applyAlignment="1" applyProtection="1">
      <alignment/>
      <protection hidden="1" locked="0"/>
    </xf>
    <xf numFmtId="0" fontId="33" fillId="0" borderId="12" xfId="55" applyFont="1" applyFill="1" applyBorder="1" applyAlignment="1" applyProtection="1">
      <alignment/>
      <protection hidden="1" locked="0"/>
    </xf>
    <xf numFmtId="1" fontId="33" fillId="0" borderId="11" xfId="55" applyNumberFormat="1" applyFont="1" applyFill="1" applyBorder="1" applyAlignment="1" applyProtection="1">
      <alignment/>
      <protection hidden="1"/>
    </xf>
    <xf numFmtId="197" fontId="33" fillId="0" borderId="11" xfId="55" applyNumberFormat="1" applyFont="1" applyFill="1" applyBorder="1" applyAlignment="1" applyProtection="1">
      <alignment/>
      <protection hidden="1"/>
    </xf>
    <xf numFmtId="197" fontId="33" fillId="0" borderId="12" xfId="55" applyNumberFormat="1" applyFont="1" applyFill="1" applyBorder="1" applyAlignment="1" applyProtection="1">
      <alignment/>
      <protection hidden="1"/>
    </xf>
    <xf numFmtId="1" fontId="33" fillId="0" borderId="0" xfId="55" applyNumberFormat="1" applyFont="1" applyFill="1" applyBorder="1" applyAlignment="1" applyProtection="1">
      <alignment horizontal="center" vertical="center"/>
      <protection hidden="1"/>
    </xf>
    <xf numFmtId="0" fontId="33" fillId="0" borderId="56" xfId="55" applyFont="1" applyFill="1" applyBorder="1" applyAlignment="1" applyProtection="1">
      <alignment horizontal="center" vertical="center" wrapText="1"/>
      <protection hidden="1"/>
    </xf>
    <xf numFmtId="0" fontId="33" fillId="0" borderId="56" xfId="55" applyFont="1" applyFill="1" applyBorder="1" applyAlignment="1" applyProtection="1">
      <alignment/>
      <protection hidden="1" locked="0"/>
    </xf>
    <xf numFmtId="0" fontId="33" fillId="0" borderId="55" xfId="55" applyFont="1" applyFill="1" applyBorder="1" applyAlignment="1" applyProtection="1">
      <alignment/>
      <protection hidden="1" locked="0"/>
    </xf>
    <xf numFmtId="0" fontId="33" fillId="0" borderId="11" xfId="55" applyFont="1" applyFill="1" applyBorder="1" applyAlignment="1">
      <alignment vertical="center"/>
      <protection/>
    </xf>
    <xf numFmtId="180" fontId="33" fillId="0" borderId="11" xfId="55" applyNumberFormat="1" applyFont="1" applyFill="1" applyBorder="1" applyAlignment="1">
      <alignment vertical="center"/>
      <protection/>
    </xf>
    <xf numFmtId="0" fontId="33" fillId="0" borderId="12" xfId="55" applyFont="1" applyFill="1" applyBorder="1" applyAlignment="1">
      <alignment vertical="center"/>
      <protection/>
    </xf>
    <xf numFmtId="0" fontId="122" fillId="0" borderId="0" xfId="55" applyFont="1" applyFill="1" applyBorder="1" applyAlignment="1">
      <alignment horizontal="center" vertical="center"/>
      <protection/>
    </xf>
    <xf numFmtId="0" fontId="122" fillId="0" borderId="0" xfId="55" applyFont="1" applyFill="1" applyAlignment="1" applyProtection="1">
      <alignment horizontal="center" vertical="center"/>
      <protection hidden="1"/>
    </xf>
    <xf numFmtId="0" fontId="33" fillId="0" borderId="11" xfId="55" applyFont="1" applyFill="1" applyBorder="1" applyProtection="1">
      <alignment/>
      <protection hidden="1"/>
    </xf>
    <xf numFmtId="180" fontId="33" fillId="0" borderId="11" xfId="55" applyNumberFormat="1" applyFont="1" applyFill="1" applyBorder="1" applyProtection="1">
      <alignment/>
      <protection hidden="1" locked="0"/>
    </xf>
    <xf numFmtId="180" fontId="33" fillId="0" borderId="12" xfId="55" applyNumberFormat="1" applyFont="1" applyFill="1" applyBorder="1" applyProtection="1">
      <alignment/>
      <protection hidden="1" locked="0"/>
    </xf>
    <xf numFmtId="180" fontId="33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32" fillId="0" borderId="13" xfId="55" applyFont="1" applyFill="1" applyBorder="1" applyAlignment="1" applyProtection="1">
      <alignment horizontal="left" vertical="top" wrapText="1"/>
      <protection hidden="1"/>
    </xf>
    <xf numFmtId="0" fontId="48" fillId="0" borderId="0" xfId="55" applyFont="1" applyFill="1" applyBorder="1" applyAlignment="1" applyProtection="1">
      <alignment horizontal="center" vertical="center" wrapText="1"/>
      <protection hidden="1"/>
    </xf>
    <xf numFmtId="4" fontId="33" fillId="0" borderId="11" xfId="55" applyNumberFormat="1" applyFont="1" applyFill="1" applyBorder="1" applyProtection="1">
      <alignment/>
      <protection hidden="1" locked="0"/>
    </xf>
    <xf numFmtId="4" fontId="33" fillId="0" borderId="12" xfId="55" applyNumberFormat="1" applyFont="1" applyFill="1" applyBorder="1" applyProtection="1">
      <alignment/>
      <protection hidden="1" locked="0"/>
    </xf>
    <xf numFmtId="4" fontId="33" fillId="0" borderId="0" xfId="55" applyNumberFormat="1" applyFont="1" applyFill="1" applyBorder="1" applyAlignment="1" applyProtection="1">
      <alignment horizontal="center" vertical="center"/>
      <protection hidden="1" locked="0"/>
    </xf>
    <xf numFmtId="4" fontId="33" fillId="0" borderId="0" xfId="55" applyNumberFormat="1" applyFont="1" applyFill="1" applyBorder="1" applyProtection="1">
      <alignment/>
      <protection hidden="1"/>
    </xf>
    <xf numFmtId="225" fontId="33" fillId="0" borderId="0" xfId="55" applyNumberFormat="1" applyFont="1" applyFill="1" applyBorder="1" applyProtection="1">
      <alignment/>
      <protection hidden="1"/>
    </xf>
    <xf numFmtId="0" fontId="33" fillId="0" borderId="11" xfId="55" applyFont="1" applyFill="1" applyBorder="1" applyAlignment="1" applyProtection="1">
      <alignment horizontal="right"/>
      <protection hidden="1" locked="0"/>
    </xf>
    <xf numFmtId="1" fontId="33" fillId="0" borderId="11" xfId="55" applyNumberFormat="1" applyFont="1" applyFill="1" applyBorder="1" applyAlignment="1" applyProtection="1">
      <alignment horizontal="right"/>
      <protection hidden="1" locked="0"/>
    </xf>
    <xf numFmtId="1" fontId="33" fillId="0" borderId="12" xfId="55" applyNumberFormat="1" applyFont="1" applyFill="1" applyBorder="1" applyAlignment="1" applyProtection="1">
      <alignment horizontal="right"/>
      <protection hidden="1" locked="0"/>
    </xf>
    <xf numFmtId="1" fontId="33" fillId="0" borderId="11" xfId="55" applyNumberFormat="1" applyFont="1" applyFill="1" applyBorder="1" applyAlignment="1" applyProtection="1">
      <alignment horizontal="right"/>
      <protection locked="0"/>
    </xf>
    <xf numFmtId="3" fontId="33" fillId="0" borderId="11" xfId="55" applyNumberFormat="1" applyFont="1" applyFill="1" applyBorder="1" applyAlignment="1" applyProtection="1">
      <alignment horizontal="right"/>
      <protection locked="0"/>
    </xf>
    <xf numFmtId="3" fontId="33" fillId="0" borderId="11" xfId="55" applyNumberFormat="1" applyFont="1" applyFill="1" applyBorder="1" applyAlignment="1" applyProtection="1">
      <alignment horizontal="right" vertical="center"/>
      <protection locked="0"/>
    </xf>
    <xf numFmtId="3" fontId="33" fillId="0" borderId="12" xfId="55" applyNumberFormat="1" applyFont="1" applyFill="1" applyBorder="1" applyAlignment="1" applyProtection="1">
      <alignment horizontal="right" vertical="center"/>
      <protection locked="0"/>
    </xf>
    <xf numFmtId="3" fontId="33" fillId="0" borderId="0" xfId="55" applyNumberFormat="1" applyFont="1" applyFill="1" applyBorder="1" applyAlignment="1" applyProtection="1">
      <alignment horizontal="center" vertical="center"/>
      <protection locked="0"/>
    </xf>
    <xf numFmtId="225" fontId="33" fillId="0" borderId="0" xfId="55" applyNumberFormat="1" applyFont="1" applyFill="1" applyBorder="1" applyAlignment="1">
      <alignment horizontal="right" wrapText="1"/>
      <protection/>
    </xf>
    <xf numFmtId="3" fontId="33" fillId="0" borderId="0" xfId="55" applyNumberFormat="1" applyFont="1" applyFill="1" applyBorder="1" applyAlignment="1">
      <alignment horizontal="right" wrapText="1"/>
      <protection/>
    </xf>
    <xf numFmtId="197" fontId="33" fillId="0" borderId="0" xfId="0" applyNumberFormat="1" applyFont="1" applyFill="1" applyBorder="1" applyAlignment="1" applyProtection="1">
      <alignment horizontal="center" vertical="center" wrapText="1"/>
      <protection/>
    </xf>
    <xf numFmtId="197" fontId="45" fillId="0" borderId="0" xfId="0" applyNumberFormat="1" applyFont="1" applyFill="1" applyBorder="1" applyAlignment="1" applyProtection="1">
      <alignment horizontal="center" vertical="center"/>
      <protection locked="0"/>
    </xf>
    <xf numFmtId="197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11" xfId="55" applyNumberFormat="1" applyFont="1" applyFill="1" applyBorder="1" applyAlignment="1" applyProtection="1">
      <alignment horizontal="right"/>
      <protection hidden="1" locked="0"/>
    </xf>
    <xf numFmtId="188" fontId="47" fillId="0" borderId="11" xfId="55" applyNumberFormat="1" applyFont="1" applyFill="1" applyBorder="1" applyAlignment="1" applyProtection="1">
      <alignment horizontal="right"/>
      <protection hidden="1" locked="0"/>
    </xf>
    <xf numFmtId="188" fontId="47" fillId="0" borderId="11" xfId="55" applyNumberFormat="1" applyFont="1" applyFill="1" applyBorder="1" applyAlignment="1" applyProtection="1">
      <alignment horizontal="right" vertical="center"/>
      <protection hidden="1" locked="0"/>
    </xf>
    <xf numFmtId="188" fontId="47" fillId="0" borderId="12" xfId="55" applyNumberFormat="1" applyFont="1" applyFill="1" applyBorder="1" applyAlignment="1" applyProtection="1">
      <alignment horizontal="right" vertical="center"/>
      <protection hidden="1" locked="0"/>
    </xf>
    <xf numFmtId="188" fontId="47" fillId="0" borderId="0" xfId="55" applyNumberFormat="1" applyFont="1" applyFill="1" applyBorder="1" applyAlignment="1" applyProtection="1">
      <alignment horizontal="center" vertical="center"/>
      <protection hidden="1" locked="0"/>
    </xf>
    <xf numFmtId="214" fontId="33" fillId="0" borderId="0" xfId="55" applyNumberFormat="1" applyFont="1" applyFill="1" applyBorder="1" applyAlignment="1" applyProtection="1">
      <alignment horizontal="center" vertical="center"/>
      <protection hidden="1" locked="0"/>
    </xf>
    <xf numFmtId="49" fontId="33" fillId="0" borderId="11" xfId="55" applyNumberFormat="1" applyFont="1" applyFill="1" applyBorder="1" applyAlignment="1" applyProtection="1">
      <alignment horizontal="right"/>
      <protection hidden="1" locked="0"/>
    </xf>
    <xf numFmtId="4" fontId="33" fillId="0" borderId="11" xfId="55" applyNumberFormat="1" applyFont="1" applyFill="1" applyBorder="1" applyAlignment="1" applyProtection="1">
      <alignment horizontal="right"/>
      <protection hidden="1" locked="0"/>
    </xf>
    <xf numFmtId="4" fontId="33" fillId="0" borderId="12" xfId="55" applyNumberFormat="1" applyFont="1" applyFill="1" applyBorder="1" applyAlignment="1" applyProtection="1">
      <alignment horizontal="right"/>
      <protection hidden="1" locked="0"/>
    </xf>
    <xf numFmtId="4" fontId="33" fillId="0" borderId="0" xfId="55" applyNumberFormat="1" applyFont="1" applyFill="1" applyBorder="1" applyAlignment="1" applyProtection="1">
      <alignment horizontal="left" vertical="center"/>
      <protection hidden="1" locked="0"/>
    </xf>
    <xf numFmtId="2" fontId="33" fillId="0" borderId="11" xfId="55" applyNumberFormat="1" applyFont="1" applyFill="1" applyBorder="1" applyAlignment="1" applyProtection="1">
      <alignment horizontal="right"/>
      <protection hidden="1" locked="0"/>
    </xf>
    <xf numFmtId="2" fontId="33" fillId="0" borderId="12" xfId="55" applyNumberFormat="1" applyFont="1" applyFill="1" applyBorder="1" applyAlignment="1" applyProtection="1">
      <alignment horizontal="right" vertical="center"/>
      <protection hidden="1" locked="0"/>
    </xf>
    <xf numFmtId="4" fontId="33" fillId="0" borderId="0" xfId="55" applyNumberFormat="1" applyFont="1" applyFill="1" applyAlignment="1" applyProtection="1">
      <alignment horizontal="center" vertical="center"/>
      <protection hidden="1"/>
    </xf>
    <xf numFmtId="214" fontId="33" fillId="0" borderId="11" xfId="55" applyNumberFormat="1" applyFont="1" applyFill="1" applyBorder="1" applyAlignment="1" applyProtection="1">
      <alignment horizontal="right"/>
      <protection hidden="1" locked="0"/>
    </xf>
    <xf numFmtId="214" fontId="33" fillId="0" borderId="11" xfId="55" applyNumberFormat="1" applyFont="1" applyFill="1" applyBorder="1" applyAlignment="1" applyProtection="1">
      <alignment horizontal="right" vertical="center"/>
      <protection hidden="1" locked="0"/>
    </xf>
    <xf numFmtId="214" fontId="33" fillId="0" borderId="12" xfId="55" applyNumberFormat="1" applyFont="1" applyFill="1" applyBorder="1" applyAlignment="1" applyProtection="1">
      <alignment horizontal="right" vertical="center"/>
      <protection hidden="1" locked="0"/>
    </xf>
    <xf numFmtId="9" fontId="47" fillId="0" borderId="11" xfId="55" applyNumberFormat="1" applyFont="1" applyFill="1" applyBorder="1" applyAlignment="1" applyProtection="1">
      <alignment horizontal="right" vertical="center"/>
      <protection hidden="1" locked="0"/>
    </xf>
    <xf numFmtId="9" fontId="47" fillId="0" borderId="12" xfId="55" applyNumberFormat="1" applyFont="1" applyFill="1" applyBorder="1" applyAlignment="1" applyProtection="1">
      <alignment horizontal="right" vertical="center"/>
      <protection hidden="1" locked="0"/>
    </xf>
    <xf numFmtId="9" fontId="47" fillId="0" borderId="0" xfId="55" applyNumberFormat="1" applyFont="1" applyFill="1" applyBorder="1" applyAlignment="1" applyProtection="1">
      <alignment horizontal="center" vertical="center"/>
      <protection hidden="1" locked="0"/>
    </xf>
    <xf numFmtId="9" fontId="33" fillId="0" borderId="0" xfId="55" applyNumberFormat="1" applyFont="1" applyFill="1" applyAlignment="1" applyProtection="1">
      <alignment horizontal="center" vertical="center"/>
      <protection hidden="1"/>
    </xf>
    <xf numFmtId="214" fontId="33" fillId="0" borderId="0" xfId="55" applyNumberFormat="1" applyFont="1" applyFill="1" applyProtection="1">
      <alignment/>
      <protection hidden="1"/>
    </xf>
    <xf numFmtId="49" fontId="33" fillId="0" borderId="12" xfId="55" applyNumberFormat="1" applyFont="1" applyFill="1" applyBorder="1" applyAlignment="1" applyProtection="1">
      <alignment horizontal="right"/>
      <protection hidden="1" locked="0"/>
    </xf>
    <xf numFmtId="49" fontId="33" fillId="0" borderId="0" xfId="55" applyNumberFormat="1" applyFont="1" applyFill="1" applyBorder="1" applyAlignment="1" applyProtection="1">
      <alignment horizontal="center" vertical="center"/>
      <protection hidden="1" locked="0"/>
    </xf>
    <xf numFmtId="4" fontId="33" fillId="0" borderId="0" xfId="66" applyNumberFormat="1" applyFont="1" applyFill="1" applyAlignment="1" applyProtection="1">
      <alignment/>
      <protection hidden="1"/>
    </xf>
    <xf numFmtId="1" fontId="95" fillId="0" borderId="11" xfId="55" applyNumberFormat="1" applyFont="1" applyFill="1" applyBorder="1" applyAlignment="1" applyProtection="1">
      <alignment horizontal="right"/>
      <protection hidden="1" locked="0"/>
    </xf>
    <xf numFmtId="1" fontId="95" fillId="0" borderId="12" xfId="55" applyNumberFormat="1" applyFont="1" applyFill="1" applyBorder="1" applyAlignment="1" applyProtection="1">
      <alignment horizontal="right"/>
      <protection hidden="1" locked="0"/>
    </xf>
    <xf numFmtId="1" fontId="95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33" fillId="0" borderId="11" xfId="55" applyNumberFormat="1" applyFont="1" applyFill="1" applyBorder="1" applyAlignment="1" applyProtection="1">
      <alignment horizontal="right"/>
      <protection hidden="1" locked="0"/>
    </xf>
    <xf numFmtId="3" fontId="95" fillId="0" borderId="11" xfId="55" applyNumberFormat="1" applyFont="1" applyFill="1" applyBorder="1" applyAlignment="1" applyProtection="1">
      <alignment horizontal="right" vertical="center"/>
      <protection hidden="1" locked="0"/>
    </xf>
    <xf numFmtId="3" fontId="95" fillId="0" borderId="12" xfId="55" applyNumberFormat="1" applyFont="1" applyFill="1" applyBorder="1" applyAlignment="1" applyProtection="1">
      <alignment horizontal="right" vertical="center"/>
      <protection hidden="1" locked="0"/>
    </xf>
    <xf numFmtId="3" fontId="95" fillId="0" borderId="0" xfId="55" applyNumberFormat="1" applyFont="1" applyFill="1" applyBorder="1" applyAlignment="1" applyProtection="1">
      <alignment horizontal="center" vertical="center"/>
      <protection hidden="1" locked="0"/>
    </xf>
    <xf numFmtId="49" fontId="47" fillId="0" borderId="11" xfId="55" applyNumberFormat="1" applyFont="1" applyFill="1" applyBorder="1" applyAlignment="1" applyProtection="1">
      <alignment horizontal="right" vertical="center"/>
      <protection hidden="1" locked="0"/>
    </xf>
    <xf numFmtId="49" fontId="47" fillId="0" borderId="12" xfId="55" applyNumberFormat="1" applyFont="1" applyFill="1" applyBorder="1" applyAlignment="1" applyProtection="1">
      <alignment horizontal="right" vertical="center"/>
      <protection hidden="1" locked="0"/>
    </xf>
    <xf numFmtId="49" fontId="47" fillId="0" borderId="0" xfId="55" applyNumberFormat="1" applyFont="1" applyFill="1" applyBorder="1" applyAlignment="1" applyProtection="1">
      <alignment horizontal="center" vertical="center"/>
      <protection hidden="1" locked="0"/>
    </xf>
    <xf numFmtId="215" fontId="33" fillId="0" borderId="11" xfId="55" applyNumberFormat="1" applyFont="1" applyFill="1" applyBorder="1" applyAlignment="1" applyProtection="1">
      <alignment horizontal="right"/>
      <protection hidden="1" locked="0"/>
    </xf>
    <xf numFmtId="215" fontId="33" fillId="0" borderId="12" xfId="55" applyNumberFormat="1" applyFont="1" applyFill="1" applyBorder="1" applyAlignment="1" applyProtection="1">
      <alignment horizontal="right"/>
      <protection hidden="1" locked="0"/>
    </xf>
    <xf numFmtId="0" fontId="33" fillId="0" borderId="48" xfId="55" applyFont="1" applyFill="1" applyBorder="1" applyAlignment="1" applyProtection="1">
      <alignment/>
      <protection hidden="1"/>
    </xf>
    <xf numFmtId="0" fontId="32" fillId="0" borderId="17" xfId="55" applyFont="1" applyFill="1" applyBorder="1" applyAlignment="1" applyProtection="1">
      <alignment horizontal="center"/>
      <protection hidden="1"/>
    </xf>
    <xf numFmtId="0" fontId="32" fillId="0" borderId="17" xfId="55" applyFont="1" applyFill="1" applyBorder="1" applyProtection="1">
      <alignment/>
      <protection hidden="1"/>
    </xf>
    <xf numFmtId="0" fontId="32" fillId="0" borderId="18" xfId="55" applyFont="1" applyFill="1" applyBorder="1" applyProtection="1">
      <alignment/>
      <protection hidden="1"/>
    </xf>
    <xf numFmtId="2" fontId="33" fillId="0" borderId="11" xfId="55" applyNumberFormat="1" applyFont="1" applyFill="1" applyBorder="1" applyAlignment="1">
      <alignment horizontal="right" vertical="top" wrapText="1"/>
      <protection/>
    </xf>
    <xf numFmtId="0" fontId="33" fillId="0" borderId="11" xfId="55" applyFont="1" applyFill="1" applyBorder="1" applyAlignment="1">
      <alignment horizontal="right" vertical="top" wrapText="1"/>
      <protection/>
    </xf>
    <xf numFmtId="197" fontId="33" fillId="0" borderId="11" xfId="55" applyNumberFormat="1" applyFont="1" applyFill="1" applyBorder="1" applyAlignment="1">
      <alignment horizontal="right" vertical="top" wrapText="1"/>
      <protection/>
    </xf>
    <xf numFmtId="197" fontId="33" fillId="0" borderId="12" xfId="55" applyNumberFormat="1" applyFont="1" applyFill="1" applyBorder="1" applyAlignment="1">
      <alignment horizontal="right" vertical="top" wrapText="1"/>
      <protection/>
    </xf>
    <xf numFmtId="197" fontId="33" fillId="0" borderId="0" xfId="55" applyNumberFormat="1" applyFont="1" applyFill="1" applyBorder="1" applyAlignment="1">
      <alignment horizontal="center" vertical="center" wrapText="1"/>
      <protection/>
    </xf>
    <xf numFmtId="197" fontId="33" fillId="0" borderId="11" xfId="55" applyNumberFormat="1" applyFont="1" applyFill="1" applyBorder="1" applyAlignment="1" applyProtection="1">
      <alignment horizontal="right"/>
      <protection hidden="1" locked="0"/>
    </xf>
    <xf numFmtId="215" fontId="33" fillId="0" borderId="0" xfId="55" applyNumberFormat="1" applyFont="1" applyFill="1" applyBorder="1" applyAlignment="1" applyProtection="1">
      <alignment horizontal="center" vertical="center"/>
      <protection hidden="1"/>
    </xf>
    <xf numFmtId="0" fontId="32" fillId="0" borderId="13" xfId="55" applyFont="1" applyFill="1" applyBorder="1" applyAlignment="1" applyProtection="1">
      <alignment/>
      <protection hidden="1"/>
    </xf>
    <xf numFmtId="0" fontId="33" fillId="0" borderId="13" xfId="55" applyFont="1" applyFill="1" applyBorder="1" applyAlignment="1" applyProtection="1">
      <alignment vertical="top" wrapText="1"/>
      <protection hidden="1"/>
    </xf>
    <xf numFmtId="0" fontId="33" fillId="0" borderId="11" xfId="55" applyFont="1" applyFill="1" applyBorder="1" applyAlignment="1" applyProtection="1">
      <alignment horizontal="center"/>
      <protection hidden="1"/>
    </xf>
    <xf numFmtId="215" fontId="33" fillId="0" borderId="0" xfId="55" applyNumberFormat="1" applyFont="1" applyFill="1" applyBorder="1" applyProtection="1">
      <alignment/>
      <protection hidden="1"/>
    </xf>
    <xf numFmtId="216" fontId="33" fillId="0" borderId="11" xfId="55" applyNumberFormat="1" applyFont="1" applyFill="1" applyBorder="1" applyAlignment="1" applyProtection="1">
      <alignment horizontal="right"/>
      <protection hidden="1" locked="0"/>
    </xf>
    <xf numFmtId="182" fontId="33" fillId="0" borderId="11" xfId="55" applyNumberFormat="1" applyFont="1" applyFill="1" applyBorder="1" applyAlignment="1" applyProtection="1">
      <alignment horizontal="right"/>
      <protection hidden="1" locked="0"/>
    </xf>
    <xf numFmtId="182" fontId="33" fillId="0" borderId="12" xfId="55" applyNumberFormat="1" applyFont="1" applyFill="1" applyBorder="1" applyAlignment="1" applyProtection="1">
      <alignment horizontal="right"/>
      <protection hidden="1" locked="0"/>
    </xf>
    <xf numFmtId="182" fontId="33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32" fillId="0" borderId="14" xfId="55" applyFont="1" applyFill="1" applyBorder="1" applyAlignment="1" applyProtection="1">
      <alignment/>
      <protection hidden="1"/>
    </xf>
    <xf numFmtId="4" fontId="32" fillId="0" borderId="56" xfId="55" applyNumberFormat="1" applyFont="1" applyFill="1" applyBorder="1" applyProtection="1">
      <alignment/>
      <protection hidden="1"/>
    </xf>
    <xf numFmtId="4" fontId="32" fillId="0" borderId="55" xfId="55" applyNumberFormat="1" applyFont="1" applyFill="1" applyBorder="1" applyProtection="1">
      <alignment/>
      <protection hidden="1"/>
    </xf>
    <xf numFmtId="215" fontId="33" fillId="0" borderId="0" xfId="55" applyNumberFormat="1" applyFont="1" applyFill="1" applyBorder="1" applyAlignment="1" applyProtection="1">
      <alignment horizontal="center" vertical="center"/>
      <protection hidden="1" locked="0"/>
    </xf>
    <xf numFmtId="4" fontId="33" fillId="0" borderId="48" xfId="55" applyNumberFormat="1" applyFont="1" applyFill="1" applyBorder="1" applyProtection="1">
      <alignment/>
      <protection hidden="1"/>
    </xf>
    <xf numFmtId="4" fontId="33" fillId="0" borderId="17" xfId="55" applyNumberFormat="1" applyFont="1" applyFill="1" applyBorder="1" applyProtection="1">
      <alignment/>
      <protection hidden="1"/>
    </xf>
    <xf numFmtId="4" fontId="33" fillId="0" borderId="18" xfId="55" applyNumberFormat="1" applyFont="1" applyFill="1" applyBorder="1" applyProtection="1">
      <alignment/>
      <protection hidden="1"/>
    </xf>
    <xf numFmtId="0" fontId="33" fillId="0" borderId="15" xfId="55" applyFont="1" applyFill="1" applyBorder="1" applyAlignment="1" applyProtection="1">
      <alignment horizontal="center" vertical="center" wrapText="1"/>
      <protection hidden="1"/>
    </xf>
    <xf numFmtId="215" fontId="33" fillId="0" borderId="15" xfId="55" applyNumberFormat="1" applyFont="1" applyFill="1" applyBorder="1" applyAlignment="1" applyProtection="1">
      <alignment horizontal="right"/>
      <protection hidden="1" locked="0"/>
    </xf>
    <xf numFmtId="215" fontId="33" fillId="0" borderId="34" xfId="55" applyNumberFormat="1" applyFont="1" applyFill="1" applyBorder="1" applyAlignment="1" applyProtection="1">
      <alignment horizontal="right"/>
      <protection hidden="1" locked="0"/>
    </xf>
    <xf numFmtId="0" fontId="32" fillId="0" borderId="11" xfId="55" applyFont="1" applyFill="1" applyBorder="1" applyAlignment="1" applyProtection="1">
      <alignment horizontal="center" vertical="center" wrapText="1"/>
      <protection hidden="1"/>
    </xf>
    <xf numFmtId="0" fontId="32" fillId="0" borderId="11" xfId="55" applyFont="1" applyFill="1" applyBorder="1" applyProtection="1">
      <alignment/>
      <protection hidden="1" locked="0"/>
    </xf>
    <xf numFmtId="0" fontId="32" fillId="0" borderId="11" xfId="55" applyFont="1" applyFill="1" applyBorder="1" applyAlignment="1" applyProtection="1">
      <alignment vertical="center"/>
      <protection hidden="1" locked="0"/>
    </xf>
    <xf numFmtId="2" fontId="32" fillId="0" borderId="11" xfId="55" applyNumberFormat="1" applyFont="1" applyFill="1" applyBorder="1" applyProtection="1">
      <alignment/>
      <protection hidden="1"/>
    </xf>
    <xf numFmtId="2" fontId="32" fillId="0" borderId="12" xfId="55" applyNumberFormat="1" applyFont="1" applyFill="1" applyBorder="1" applyProtection="1">
      <alignment/>
      <protection hidden="1"/>
    </xf>
    <xf numFmtId="0" fontId="32" fillId="0" borderId="11" xfId="55" applyFont="1" applyFill="1" applyBorder="1" applyAlignment="1" applyProtection="1">
      <alignment horizontal="center" vertical="center"/>
      <protection hidden="1" locked="0"/>
    </xf>
    <xf numFmtId="0" fontId="32" fillId="0" borderId="12" xfId="55" applyFont="1" applyFill="1" applyBorder="1" applyAlignment="1" applyProtection="1">
      <alignment horizontal="center" vertical="center"/>
      <protection hidden="1" locked="0"/>
    </xf>
    <xf numFmtId="4" fontId="32" fillId="0" borderId="11" xfId="55" applyNumberFormat="1" applyFont="1" applyFill="1" applyBorder="1" applyProtection="1">
      <alignment/>
      <protection hidden="1"/>
    </xf>
    <xf numFmtId="4" fontId="32" fillId="0" borderId="12" xfId="55" applyNumberFormat="1" applyFont="1" applyFill="1" applyBorder="1" applyProtection="1">
      <alignment/>
      <protection hidden="1"/>
    </xf>
    <xf numFmtId="1" fontId="32" fillId="0" borderId="11" xfId="55" applyNumberFormat="1" applyFont="1" applyFill="1" applyBorder="1" applyAlignment="1" applyProtection="1">
      <alignment horizontal="right" vertical="center"/>
      <protection hidden="1" locked="0"/>
    </xf>
    <xf numFmtId="1" fontId="32" fillId="0" borderId="12" xfId="55" applyNumberFormat="1" applyFont="1" applyFill="1" applyBorder="1" applyAlignment="1" applyProtection="1">
      <alignment horizontal="right" vertical="center"/>
      <protection hidden="1" locked="0"/>
    </xf>
    <xf numFmtId="214" fontId="32" fillId="0" borderId="11" xfId="55" applyNumberFormat="1" applyFont="1" applyFill="1" applyBorder="1" applyProtection="1">
      <alignment/>
      <protection hidden="1"/>
    </xf>
    <xf numFmtId="214" fontId="32" fillId="0" borderId="12" xfId="55" applyNumberFormat="1" applyFont="1" applyFill="1" applyBorder="1" applyProtection="1">
      <alignment/>
      <protection hidden="1"/>
    </xf>
    <xf numFmtId="0" fontId="33" fillId="0" borderId="16" xfId="55" applyFont="1" applyFill="1" applyBorder="1" applyAlignment="1" applyProtection="1">
      <alignment horizontal="left" vertical="top" wrapText="1"/>
      <protection hidden="1"/>
    </xf>
    <xf numFmtId="1" fontId="32" fillId="0" borderId="11" xfId="55" applyNumberFormat="1" applyFont="1" applyFill="1" applyBorder="1" applyAlignment="1" applyProtection="1">
      <alignment horizontal="right"/>
      <protection hidden="1" locked="0"/>
    </xf>
    <xf numFmtId="0" fontId="32" fillId="0" borderId="11" xfId="55" applyFont="1" applyFill="1" applyBorder="1" applyAlignment="1" applyProtection="1">
      <alignment horizontal="right"/>
      <protection hidden="1" locked="0"/>
    </xf>
    <xf numFmtId="1" fontId="33" fillId="0" borderId="11" xfId="55" applyNumberFormat="1" applyFont="1" applyFill="1" applyBorder="1" applyAlignment="1" applyProtection="1">
      <alignment/>
      <protection hidden="1" locked="0"/>
    </xf>
    <xf numFmtId="0" fontId="33" fillId="0" borderId="56" xfId="55" applyFont="1" applyFill="1" applyBorder="1" applyAlignment="1" applyProtection="1">
      <alignment/>
      <protection hidden="1"/>
    </xf>
    <xf numFmtId="0" fontId="32" fillId="0" borderId="41" xfId="55" applyFont="1" applyFill="1" applyBorder="1" applyAlignment="1" applyProtection="1">
      <alignment/>
      <protection hidden="1"/>
    </xf>
    <xf numFmtId="4" fontId="33" fillId="0" borderId="42" xfId="55" applyNumberFormat="1" applyFont="1" applyFill="1" applyBorder="1" applyProtection="1">
      <alignment/>
      <protection hidden="1"/>
    </xf>
    <xf numFmtId="4" fontId="33" fillId="0" borderId="43" xfId="55" applyNumberFormat="1" applyFont="1" applyFill="1" applyBorder="1" applyProtection="1">
      <alignment/>
      <protection hidden="1"/>
    </xf>
    <xf numFmtId="0" fontId="33" fillId="0" borderId="13" xfId="55" applyFont="1" applyFill="1" applyBorder="1" applyAlignment="1" applyProtection="1">
      <alignment horizontal="left" vertical="top"/>
      <protection hidden="1"/>
    </xf>
    <xf numFmtId="215" fontId="33" fillId="0" borderId="11" xfId="55" applyNumberFormat="1" applyFont="1" applyFill="1" applyBorder="1" applyAlignment="1" applyProtection="1">
      <alignment/>
      <protection hidden="1"/>
    </xf>
    <xf numFmtId="215" fontId="33" fillId="0" borderId="12" xfId="55" applyNumberFormat="1" applyFont="1" applyFill="1" applyBorder="1" applyAlignment="1" applyProtection="1">
      <alignment/>
      <protection hidden="1"/>
    </xf>
    <xf numFmtId="0" fontId="33" fillId="0" borderId="14" xfId="55" applyFont="1" applyFill="1" applyBorder="1" applyAlignment="1" applyProtection="1">
      <alignment horizontal="left" vertical="top" wrapText="1"/>
      <protection hidden="1"/>
    </xf>
    <xf numFmtId="180" fontId="33" fillId="0" borderId="13" xfId="55" applyNumberFormat="1" applyFont="1" applyFill="1" applyBorder="1" applyAlignment="1" applyProtection="1">
      <alignment horizontal="left" vertical="top" wrapText="1"/>
      <protection hidden="1"/>
    </xf>
    <xf numFmtId="180" fontId="32" fillId="0" borderId="11" xfId="55" applyNumberFormat="1" applyFont="1" applyFill="1" applyBorder="1" applyAlignment="1" applyProtection="1">
      <alignment horizontal="center" vertical="center" wrapText="1"/>
      <protection hidden="1"/>
    </xf>
    <xf numFmtId="197" fontId="33" fillId="0" borderId="11" xfId="55" applyNumberFormat="1" applyFont="1" applyFill="1" applyBorder="1" applyProtection="1">
      <alignment/>
      <protection hidden="1" locked="0"/>
    </xf>
    <xf numFmtId="197" fontId="32" fillId="0" borderId="11" xfId="55" applyNumberFormat="1" applyFont="1" applyFill="1" applyBorder="1" applyProtection="1">
      <alignment/>
      <protection hidden="1" locked="0"/>
    </xf>
    <xf numFmtId="197" fontId="32" fillId="0" borderId="12" xfId="55" applyNumberFormat="1" applyFont="1" applyFill="1" applyBorder="1" applyProtection="1">
      <alignment/>
      <protection hidden="1" locked="0"/>
    </xf>
    <xf numFmtId="180" fontId="33" fillId="0" borderId="11" xfId="55" applyNumberFormat="1" applyFont="1" applyFill="1" applyBorder="1" applyAlignment="1" applyProtection="1">
      <alignment horizontal="center" vertical="center" wrapText="1"/>
      <protection hidden="1"/>
    </xf>
    <xf numFmtId="197" fontId="33" fillId="0" borderId="12" xfId="55" applyNumberFormat="1" applyFont="1" applyFill="1" applyBorder="1" applyProtection="1">
      <alignment/>
      <protection hidden="1" locked="0"/>
    </xf>
    <xf numFmtId="180" fontId="33" fillId="0" borderId="13" xfId="55" applyNumberFormat="1" applyFont="1" applyFill="1" applyBorder="1" applyAlignment="1" applyProtection="1">
      <alignment vertical="top" wrapText="1"/>
      <protection hidden="1"/>
    </xf>
    <xf numFmtId="2" fontId="33" fillId="0" borderId="11" xfId="55" applyNumberFormat="1" applyFont="1" applyFill="1" applyBorder="1" applyAlignment="1" applyProtection="1">
      <alignment horizontal="right"/>
      <protection hidden="1"/>
    </xf>
    <xf numFmtId="214" fontId="33" fillId="0" borderId="11" xfId="55" applyNumberFormat="1" applyFont="1" applyFill="1" applyBorder="1" applyAlignment="1" applyProtection="1">
      <alignment horizontal="right"/>
      <protection hidden="1"/>
    </xf>
    <xf numFmtId="214" fontId="32" fillId="0" borderId="11" xfId="55" applyNumberFormat="1" applyFont="1" applyFill="1" applyBorder="1" applyAlignment="1" applyProtection="1">
      <alignment horizontal="right"/>
      <protection hidden="1" locked="0"/>
    </xf>
    <xf numFmtId="49" fontId="47" fillId="0" borderId="11" xfId="55" applyNumberFormat="1" applyFont="1" applyFill="1" applyBorder="1" applyAlignment="1" applyProtection="1">
      <alignment horizontal="right"/>
      <protection hidden="1"/>
    </xf>
    <xf numFmtId="215" fontId="47" fillId="0" borderId="11" xfId="55" applyNumberFormat="1" applyFont="1" applyFill="1" applyBorder="1" applyAlignment="1" applyProtection="1">
      <alignment horizontal="right"/>
      <protection hidden="1"/>
    </xf>
    <xf numFmtId="214" fontId="33" fillId="0" borderId="11" xfId="55" applyNumberFormat="1" applyFont="1" applyFill="1" applyBorder="1" applyAlignment="1" applyProtection="1">
      <alignment horizontal="right" vertical="center"/>
      <protection hidden="1"/>
    </xf>
    <xf numFmtId="180" fontId="33" fillId="0" borderId="11" xfId="55" applyNumberFormat="1" applyFont="1" applyFill="1" applyBorder="1" applyAlignment="1" applyProtection="1">
      <alignment vertical="center"/>
      <protection hidden="1"/>
    </xf>
    <xf numFmtId="180" fontId="33" fillId="0" borderId="12" xfId="55" applyNumberFormat="1" applyFont="1" applyFill="1" applyBorder="1" applyAlignment="1" applyProtection="1">
      <alignment vertical="center"/>
      <protection hidden="1"/>
    </xf>
    <xf numFmtId="214" fontId="33" fillId="0" borderId="12" xfId="55" applyNumberFormat="1" applyFont="1" applyFill="1" applyBorder="1" applyAlignment="1" applyProtection="1">
      <alignment horizontal="right"/>
      <protection hidden="1" locked="0"/>
    </xf>
    <xf numFmtId="0" fontId="0" fillId="0" borderId="0" xfId="55" applyFont="1" applyFill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0" fillId="0" borderId="0" xfId="55" applyFont="1" applyFill="1" applyAlignment="1" applyProtection="1">
      <alignment horizontal="center"/>
      <protection hidden="1"/>
    </xf>
    <xf numFmtId="0" fontId="5" fillId="0" borderId="13" xfId="55" applyFont="1" applyFill="1" applyBorder="1" applyAlignment="1" applyProtection="1">
      <alignment horizontal="left" vertical="top" wrapText="1"/>
      <protection hidden="1"/>
    </xf>
    <xf numFmtId="0" fontId="28" fillId="0" borderId="11" xfId="55" applyFont="1" applyFill="1" applyBorder="1" applyAlignment="1">
      <alignment/>
      <protection/>
    </xf>
    <xf numFmtId="0" fontId="28" fillId="0" borderId="12" xfId="55" applyFont="1" applyFill="1" applyBorder="1" applyAlignment="1">
      <alignment/>
      <protection/>
    </xf>
    <xf numFmtId="0" fontId="48" fillId="0" borderId="13" xfId="55" applyFont="1" applyFill="1" applyBorder="1" applyAlignment="1" applyProtection="1">
      <alignment horizontal="left" vertical="top" wrapText="1"/>
      <protection hidden="1"/>
    </xf>
    <xf numFmtId="0" fontId="48" fillId="0" borderId="11" xfId="55" applyFont="1" applyFill="1" applyBorder="1" applyAlignment="1" applyProtection="1">
      <alignment horizontal="left" vertical="top" wrapText="1"/>
      <protection hidden="1"/>
    </xf>
    <xf numFmtId="0" fontId="33" fillId="0" borderId="11" xfId="55" applyFont="1" applyFill="1" applyBorder="1" applyAlignment="1">
      <alignment/>
      <protection/>
    </xf>
    <xf numFmtId="0" fontId="33" fillId="0" borderId="12" xfId="55" applyFont="1" applyFill="1" applyBorder="1" applyAlignment="1">
      <alignment/>
      <protection/>
    </xf>
    <xf numFmtId="0" fontId="5" fillId="0" borderId="59" xfId="55" applyFont="1" applyFill="1" applyBorder="1" applyAlignment="1" applyProtection="1">
      <alignment horizontal="center" vertical="top" wrapText="1"/>
      <protection locked="0"/>
    </xf>
    <xf numFmtId="0" fontId="8" fillId="0" borderId="25" xfId="55" applyFont="1" applyFill="1" applyBorder="1" applyAlignment="1" applyProtection="1">
      <alignment horizontal="center" vertical="top" wrapText="1"/>
      <protection hidden="1"/>
    </xf>
    <xf numFmtId="0" fontId="8" fillId="0" borderId="13" xfId="55" applyFont="1" applyFill="1" applyBorder="1" applyAlignment="1" applyProtection="1">
      <alignment horizontal="center" vertical="top" wrapText="1"/>
      <protection hidden="1"/>
    </xf>
    <xf numFmtId="0" fontId="8" fillId="0" borderId="10" xfId="55" applyFont="1" applyFill="1" applyBorder="1" applyAlignment="1" applyProtection="1">
      <alignment horizontal="center" vertical="center"/>
      <protection hidden="1"/>
    </xf>
    <xf numFmtId="0" fontId="8" fillId="0" borderId="11" xfId="55" applyFont="1" applyFill="1" applyBorder="1" applyAlignment="1" applyProtection="1">
      <alignment horizontal="center" vertical="center"/>
      <protection hidden="1"/>
    </xf>
    <xf numFmtId="0" fontId="28" fillId="0" borderId="10" xfId="55" applyFont="1" applyFill="1" applyBorder="1" applyAlignment="1">
      <alignment/>
      <protection/>
    </xf>
    <xf numFmtId="0" fontId="28" fillId="0" borderId="30" xfId="55" applyFont="1" applyFill="1" applyBorder="1" applyAlignment="1">
      <alignment/>
      <protection/>
    </xf>
    <xf numFmtId="0" fontId="115" fillId="0" borderId="11" xfId="55" applyFont="1" applyFill="1" applyBorder="1" applyAlignment="1" applyProtection="1">
      <alignment horizontal="left" vertical="top" wrapText="1"/>
      <protection hidden="1"/>
    </xf>
    <xf numFmtId="0" fontId="121" fillId="0" borderId="11" xfId="55" applyFont="1" applyFill="1" applyBorder="1" applyAlignment="1">
      <alignment/>
      <protection/>
    </xf>
    <xf numFmtId="0" fontId="121" fillId="0" borderId="12" xfId="55" applyFont="1" applyFill="1" applyBorder="1" applyAlignment="1">
      <alignment/>
      <protection/>
    </xf>
    <xf numFmtId="0" fontId="48" fillId="0" borderId="13" xfId="55" applyFont="1" applyFill="1" applyBorder="1" applyAlignment="1" applyProtection="1">
      <alignment vertical="top" wrapText="1"/>
      <protection hidden="1"/>
    </xf>
    <xf numFmtId="0" fontId="33" fillId="0" borderId="26" xfId="55" applyFont="1" applyFill="1" applyBorder="1" applyAlignment="1" applyProtection="1">
      <alignment horizontal="left" vertical="center" wrapText="1"/>
      <protection hidden="1"/>
    </xf>
    <xf numFmtId="0" fontId="33" fillId="0" borderId="32" xfId="55" applyFont="1" applyFill="1" applyBorder="1" applyAlignment="1" applyProtection="1">
      <alignment horizontal="left" vertical="center" wrapText="1"/>
      <protection hidden="1"/>
    </xf>
    <xf numFmtId="0" fontId="33" fillId="0" borderId="11" xfId="55" applyFont="1" applyFill="1" applyBorder="1" applyAlignment="1">
      <alignment horizontal="left" vertical="top" wrapText="1"/>
      <protection/>
    </xf>
    <xf numFmtId="0" fontId="33" fillId="0" borderId="28" xfId="55" applyFont="1" applyFill="1" applyBorder="1" applyAlignment="1" applyProtection="1">
      <alignment horizontal="center"/>
      <protection hidden="1"/>
    </xf>
    <xf numFmtId="0" fontId="33" fillId="0" borderId="86" xfId="55" applyFont="1" applyFill="1" applyBorder="1" applyAlignment="1" applyProtection="1">
      <alignment horizontal="center"/>
      <protection hidden="1"/>
    </xf>
    <xf numFmtId="0" fontId="33" fillId="0" borderId="65" xfId="55" applyFont="1" applyFill="1" applyBorder="1" applyAlignment="1" applyProtection="1">
      <alignment horizontal="center"/>
      <protection hidden="1"/>
    </xf>
    <xf numFmtId="180" fontId="48" fillId="0" borderId="13" xfId="55" applyNumberFormat="1" applyFont="1" applyFill="1" applyBorder="1" applyAlignment="1" applyProtection="1">
      <alignment horizontal="left" vertical="top" wrapText="1"/>
      <protection hidden="1"/>
    </xf>
    <xf numFmtId="180" fontId="33" fillId="0" borderId="11" xfId="55" applyNumberFormat="1" applyFont="1" applyFill="1" applyBorder="1" applyAlignment="1">
      <alignment/>
      <protection/>
    </xf>
    <xf numFmtId="0" fontId="5" fillId="0" borderId="11" xfId="55" applyFont="1" applyFill="1" applyBorder="1" applyAlignment="1" applyProtection="1">
      <alignment horizontal="left" vertical="top" wrapText="1"/>
      <protection hidden="1"/>
    </xf>
    <xf numFmtId="0" fontId="48" fillId="0" borderId="12" xfId="55" applyFont="1" applyFill="1" applyBorder="1" applyAlignment="1" applyProtection="1">
      <alignment horizontal="left" vertical="top" wrapText="1"/>
      <protection hidden="1"/>
    </xf>
    <xf numFmtId="0" fontId="0" fillId="0" borderId="0" xfId="55" applyFont="1" applyFill="1" applyBorder="1" applyAlignment="1" applyProtection="1">
      <alignment/>
      <protection hidden="1"/>
    </xf>
    <xf numFmtId="0" fontId="7" fillId="0" borderId="25" xfId="55" applyFont="1" applyFill="1" applyBorder="1" applyAlignment="1" applyProtection="1">
      <alignment horizontal="center" vertical="top" wrapText="1"/>
      <protection hidden="1"/>
    </xf>
    <xf numFmtId="0" fontId="7" fillId="0" borderId="13" xfId="55" applyFont="1" applyFill="1" applyBorder="1" applyAlignment="1" applyProtection="1">
      <alignment horizontal="center" vertical="top" wrapText="1"/>
      <protection hidden="1"/>
    </xf>
    <xf numFmtId="0" fontId="7" fillId="0" borderId="10" xfId="55" applyFont="1" applyFill="1" applyBorder="1" applyAlignment="1" applyProtection="1">
      <alignment horizontal="center" vertical="center"/>
      <protection hidden="1"/>
    </xf>
    <xf numFmtId="0" fontId="7" fillId="0" borderId="11" xfId="55" applyFont="1" applyFill="1" applyBorder="1" applyAlignment="1" applyProtection="1">
      <alignment horizontal="center" vertical="center"/>
      <protection hidden="1"/>
    </xf>
    <xf numFmtId="0" fontId="0" fillId="0" borderId="10" xfId="55" applyFont="1" applyFill="1" applyBorder="1" applyAlignment="1">
      <alignment/>
      <protection/>
    </xf>
    <xf numFmtId="0" fontId="0" fillId="0" borderId="30" xfId="55" applyFont="1" applyFill="1" applyBorder="1" applyAlignment="1">
      <alignment/>
      <protection/>
    </xf>
    <xf numFmtId="0" fontId="5" fillId="0" borderId="59" xfId="55" applyFont="1" applyFill="1" applyBorder="1" applyAlignment="1" applyProtection="1">
      <alignment horizontal="center" vertical="top" wrapText="1"/>
      <protection locked="0"/>
    </xf>
    <xf numFmtId="0" fontId="0" fillId="0" borderId="11" xfId="55" applyFont="1" applyFill="1" applyBorder="1" applyAlignment="1">
      <alignment/>
      <protection/>
    </xf>
    <xf numFmtId="0" fontId="0" fillId="0" borderId="12" xfId="55" applyFont="1" applyFill="1" applyBorder="1" applyAlignment="1">
      <alignment/>
      <protection/>
    </xf>
    <xf numFmtId="0" fontId="12" fillId="0" borderId="13" xfId="55" applyFont="1" applyFill="1" applyBorder="1" applyAlignment="1" applyProtection="1">
      <alignment horizontal="left" vertical="top" wrapText="1"/>
      <protection hidden="1"/>
    </xf>
    <xf numFmtId="0" fontId="12" fillId="0" borderId="11" xfId="55" applyFont="1" applyFill="1" applyBorder="1" applyAlignment="1" applyProtection="1">
      <alignment horizontal="left" vertical="top" wrapText="1"/>
      <protection hidden="1"/>
    </xf>
    <xf numFmtId="0" fontId="13" fillId="0" borderId="13" xfId="55" applyFont="1" applyFill="1" applyBorder="1" applyAlignment="1" applyProtection="1">
      <alignment horizontal="left" vertical="top" wrapText="1"/>
      <protection hidden="1"/>
    </xf>
    <xf numFmtId="0" fontId="15" fillId="0" borderId="11" xfId="55" applyFont="1" applyFill="1" applyBorder="1" applyAlignment="1">
      <alignment/>
      <protection/>
    </xf>
    <xf numFmtId="0" fontId="15" fillId="0" borderId="12" xfId="55" applyFont="1" applyFill="1" applyBorder="1" applyAlignment="1">
      <alignment/>
      <protection/>
    </xf>
    <xf numFmtId="0" fontId="14" fillId="0" borderId="13" xfId="55" applyFont="1" applyFill="1" applyBorder="1" applyAlignment="1" applyProtection="1">
      <alignment horizontal="left" vertical="top" wrapText="1"/>
      <protection hidden="1"/>
    </xf>
    <xf numFmtId="180" fontId="13" fillId="0" borderId="13" xfId="55" applyNumberFormat="1" applyFont="1" applyFill="1" applyBorder="1" applyAlignment="1" applyProtection="1">
      <alignment horizontal="left" vertical="top" wrapText="1"/>
      <protection hidden="1"/>
    </xf>
    <xf numFmtId="180" fontId="0" fillId="0" borderId="11" xfId="55" applyNumberFormat="1" applyFont="1" applyFill="1" applyBorder="1" applyAlignment="1">
      <alignment/>
      <protection/>
    </xf>
    <xf numFmtId="0" fontId="13" fillId="0" borderId="13" xfId="55" applyFont="1" applyFill="1" applyBorder="1" applyAlignment="1" applyProtection="1">
      <alignment vertical="top" wrapText="1"/>
      <protection hidden="1"/>
    </xf>
    <xf numFmtId="0" fontId="13" fillId="35" borderId="13" xfId="55" applyFont="1" applyFill="1" applyBorder="1" applyAlignment="1" applyProtection="1">
      <alignment horizontal="left" vertical="top" wrapText="1"/>
      <protection hidden="1"/>
    </xf>
    <xf numFmtId="0" fontId="0" fillId="35" borderId="11" xfId="55" applyFont="1" applyFill="1" applyBorder="1" applyAlignment="1">
      <alignment/>
      <protection/>
    </xf>
    <xf numFmtId="0" fontId="0" fillId="35" borderId="12" xfId="55" applyFont="1" applyFill="1" applyBorder="1" applyAlignment="1">
      <alignment/>
      <protection/>
    </xf>
    <xf numFmtId="0" fontId="13" fillId="35" borderId="11" xfId="55" applyFont="1" applyFill="1" applyBorder="1" applyAlignment="1" applyProtection="1">
      <alignment horizontal="left" vertical="top" wrapText="1"/>
      <protection hidden="1"/>
    </xf>
    <xf numFmtId="0" fontId="0" fillId="35" borderId="11" xfId="55" applyFont="1" applyFill="1" applyBorder="1" applyAlignment="1">
      <alignment horizontal="left"/>
      <protection/>
    </xf>
    <xf numFmtId="0" fontId="0" fillId="35" borderId="11" xfId="55" applyFont="1" applyFill="1" applyBorder="1" applyAlignment="1">
      <alignment wrapText="1"/>
      <protection/>
    </xf>
    <xf numFmtId="0" fontId="26" fillId="0" borderId="26" xfId="55" applyFont="1" applyFill="1" applyBorder="1" applyAlignment="1" applyProtection="1">
      <alignment horizontal="left" vertical="top" wrapText="1"/>
      <protection hidden="1"/>
    </xf>
    <xf numFmtId="0" fontId="26" fillId="0" borderId="73" xfId="55" applyFont="1" applyFill="1" applyBorder="1" applyAlignment="1" applyProtection="1">
      <alignment horizontal="left" vertical="top" wrapText="1"/>
      <protection hidden="1"/>
    </xf>
    <xf numFmtId="0" fontId="26" fillId="0" borderId="50" xfId="55" applyFont="1" applyFill="1" applyBorder="1" applyAlignment="1" applyProtection="1">
      <alignment horizontal="left" vertical="top" wrapText="1"/>
      <protection hidden="1"/>
    </xf>
    <xf numFmtId="0" fontId="18" fillId="0" borderId="13" xfId="55" applyFont="1" applyFill="1" applyBorder="1" applyAlignment="1" applyProtection="1">
      <alignment horizontal="left" vertical="top" wrapText="1"/>
      <protection hidden="1"/>
    </xf>
    <xf numFmtId="0" fontId="18" fillId="0" borderId="11" xfId="55" applyFont="1" applyFill="1" applyBorder="1" applyAlignment="1" applyProtection="1">
      <alignment horizontal="left" vertical="top" wrapText="1"/>
      <protection hidden="1"/>
    </xf>
    <xf numFmtId="0" fontId="0" fillId="0" borderId="28" xfId="55" applyFont="1" applyFill="1" applyBorder="1" applyAlignment="1" applyProtection="1">
      <alignment horizontal="center"/>
      <protection hidden="1"/>
    </xf>
    <xf numFmtId="0" fontId="0" fillId="0" borderId="86" xfId="55" applyFont="1" applyFill="1" applyBorder="1" applyAlignment="1" applyProtection="1">
      <alignment horizontal="center"/>
      <protection hidden="1"/>
    </xf>
    <xf numFmtId="0" fontId="0" fillId="0" borderId="65" xfId="55" applyFont="1" applyFill="1" applyBorder="1" applyAlignment="1" applyProtection="1">
      <alignment horizontal="center"/>
      <protection hidden="1"/>
    </xf>
    <xf numFmtId="0" fontId="12" fillId="35" borderId="13" xfId="55" applyFont="1" applyFill="1" applyBorder="1" applyAlignment="1" applyProtection="1">
      <alignment horizontal="left" vertical="top" wrapText="1"/>
      <protection hidden="1"/>
    </xf>
    <xf numFmtId="0" fontId="0" fillId="35" borderId="73" xfId="0" applyFill="1" applyBorder="1" applyAlignment="1">
      <alignment/>
    </xf>
    <xf numFmtId="0" fontId="0" fillId="35" borderId="50" xfId="0" applyFill="1" applyBorder="1" applyAlignment="1">
      <alignment/>
    </xf>
    <xf numFmtId="0" fontId="12" fillId="35" borderId="26" xfId="55" applyFont="1" applyFill="1" applyBorder="1" applyAlignment="1" applyProtection="1">
      <alignment horizontal="left" vertical="top" wrapText="1"/>
      <protection hidden="1"/>
    </xf>
    <xf numFmtId="0" fontId="12" fillId="35" borderId="73" xfId="55" applyFont="1" applyFill="1" applyBorder="1" applyAlignment="1" applyProtection="1">
      <alignment horizontal="left" vertical="top" wrapText="1"/>
      <protection hidden="1"/>
    </xf>
    <xf numFmtId="0" fontId="12" fillId="35" borderId="50" xfId="55" applyFont="1" applyFill="1" applyBorder="1" applyAlignment="1" applyProtection="1">
      <alignment horizontal="left" vertical="top" wrapText="1"/>
      <protection hidden="1"/>
    </xf>
    <xf numFmtId="0" fontId="13" fillId="35" borderId="26" xfId="55" applyFont="1" applyFill="1" applyBorder="1" applyAlignment="1" applyProtection="1">
      <alignment horizontal="left" vertical="top" wrapText="1"/>
      <protection hidden="1"/>
    </xf>
    <xf numFmtId="0" fontId="13" fillId="35" borderId="73" xfId="55" applyFont="1" applyFill="1" applyBorder="1" applyAlignment="1" applyProtection="1">
      <alignment horizontal="left" vertical="top" wrapText="1"/>
      <protection hidden="1"/>
    </xf>
    <xf numFmtId="0" fontId="13" fillId="35" borderId="50" xfId="55" applyFont="1" applyFill="1" applyBorder="1" applyAlignment="1" applyProtection="1">
      <alignment horizontal="left" vertical="top" wrapText="1"/>
      <protection hidden="1"/>
    </xf>
    <xf numFmtId="0" fontId="13" fillId="0" borderId="13" xfId="55" applyFont="1" applyFill="1" applyBorder="1" applyAlignment="1" applyProtection="1">
      <alignment horizontal="left" vertical="top" wrapText="1"/>
      <protection hidden="1"/>
    </xf>
    <xf numFmtId="0" fontId="13" fillId="0" borderId="11" xfId="55" applyFont="1" applyFill="1" applyBorder="1" applyAlignment="1" applyProtection="1">
      <alignment horizontal="left" vertical="top" wrapText="1"/>
      <protection hidden="1"/>
    </xf>
    <xf numFmtId="0" fontId="0" fillId="0" borderId="11" xfId="55" applyFont="1" applyFill="1" applyBorder="1" applyAlignment="1">
      <alignment horizontal="left" vertical="top" wrapText="1"/>
      <protection/>
    </xf>
    <xf numFmtId="0" fontId="13" fillId="0" borderId="11" xfId="55" applyFont="1" applyFill="1" applyBorder="1" applyAlignment="1" applyProtection="1">
      <alignment horizontal="left" vertical="top" wrapText="1"/>
      <protection hidden="1"/>
    </xf>
    <xf numFmtId="0" fontId="13" fillId="0" borderId="12" xfId="55" applyFont="1" applyFill="1" applyBorder="1" applyAlignment="1" applyProtection="1">
      <alignment horizontal="left" vertical="top" wrapText="1"/>
      <protection hidden="1"/>
    </xf>
    <xf numFmtId="0" fontId="31" fillId="0" borderId="5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104" fillId="0" borderId="0" xfId="0" applyFont="1" applyAlignment="1">
      <alignment horizontal="center" wrapText="1"/>
    </xf>
    <xf numFmtId="0" fontId="104" fillId="0" borderId="28" xfId="0" applyFont="1" applyBorder="1" applyAlignment="1">
      <alignment horizontal="center" vertical="center" wrapText="1"/>
    </xf>
    <xf numFmtId="0" fontId="104" fillId="0" borderId="29" xfId="0" applyFont="1" applyBorder="1" applyAlignment="1">
      <alignment horizontal="center" vertical="center" wrapText="1"/>
    </xf>
    <xf numFmtId="0" fontId="104" fillId="0" borderId="45" xfId="0" applyFont="1" applyBorder="1" applyAlignment="1">
      <alignment horizontal="center" wrapText="1"/>
    </xf>
    <xf numFmtId="0" fontId="104" fillId="0" borderId="58" xfId="0" applyFont="1" applyBorder="1" applyAlignment="1">
      <alignment horizontal="center" wrapText="1"/>
    </xf>
    <xf numFmtId="0" fontId="104" fillId="0" borderId="57" xfId="0" applyFont="1" applyBorder="1" applyAlignment="1">
      <alignment horizontal="center" wrapText="1"/>
    </xf>
    <xf numFmtId="0" fontId="104" fillId="0" borderId="25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0" fontId="104" fillId="0" borderId="38" xfId="0" applyFont="1" applyBorder="1" applyAlignment="1">
      <alignment horizontal="center" wrapText="1"/>
    </xf>
    <xf numFmtId="0" fontId="104" fillId="0" borderId="30" xfId="0" applyFont="1" applyBorder="1" applyAlignment="1">
      <alignment horizontal="center" wrapText="1"/>
    </xf>
    <xf numFmtId="0" fontId="108" fillId="0" borderId="0" xfId="0" applyFont="1" applyBorder="1" applyAlignment="1">
      <alignment wrapText="1"/>
    </xf>
    <xf numFmtId="0" fontId="108" fillId="0" borderId="0" xfId="0" applyFont="1" applyBorder="1" applyAlignment="1">
      <alignment horizontal="center" wrapText="1"/>
    </xf>
    <xf numFmtId="0" fontId="106" fillId="0" borderId="24" xfId="0" applyFont="1" applyBorder="1" applyAlignment="1">
      <alignment horizontal="center" vertical="center"/>
    </xf>
    <xf numFmtId="0" fontId="106" fillId="0" borderId="87" xfId="0" applyFont="1" applyBorder="1" applyAlignment="1">
      <alignment horizontal="center" vertical="center"/>
    </xf>
    <xf numFmtId="0" fontId="106" fillId="0" borderId="77" xfId="0" applyFont="1" applyBorder="1" applyAlignment="1">
      <alignment horizontal="center" vertical="center"/>
    </xf>
    <xf numFmtId="0" fontId="106" fillId="0" borderId="24" xfId="0" applyFont="1" applyFill="1" applyBorder="1" applyAlignment="1">
      <alignment horizontal="center" vertical="center"/>
    </xf>
    <xf numFmtId="0" fontId="106" fillId="0" borderId="87" xfId="0" applyFont="1" applyFill="1" applyBorder="1" applyAlignment="1">
      <alignment horizontal="center" vertical="center"/>
    </xf>
    <xf numFmtId="0" fontId="106" fillId="0" borderId="77" xfId="0" applyFont="1" applyFill="1" applyBorder="1" applyAlignment="1">
      <alignment horizontal="center" vertical="center"/>
    </xf>
    <xf numFmtId="0" fontId="95" fillId="0" borderId="28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104" fillId="0" borderId="88" xfId="0" applyFont="1" applyBorder="1" applyAlignment="1">
      <alignment horizontal="center" vertical="center"/>
    </xf>
    <xf numFmtId="0" fontId="104" fillId="0" borderId="53" xfId="0" applyFont="1" applyBorder="1" applyAlignment="1">
      <alignment horizontal="center" vertical="center"/>
    </xf>
    <xf numFmtId="0" fontId="105" fillId="0" borderId="28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3" fontId="104" fillId="0" borderId="39" xfId="0" applyNumberFormat="1" applyFont="1" applyBorder="1" applyAlignment="1">
      <alignment horizontal="center" vertical="center"/>
    </xf>
    <xf numFmtId="3" fontId="104" fillId="0" borderId="64" xfId="0" applyNumberFormat="1" applyFont="1" applyBorder="1" applyAlignment="1">
      <alignment horizontal="center" vertical="center"/>
    </xf>
    <xf numFmtId="3" fontId="104" fillId="0" borderId="60" xfId="0" applyNumberFormat="1" applyFont="1" applyBorder="1" applyAlignment="1">
      <alignment horizontal="center" vertical="center"/>
    </xf>
    <xf numFmtId="3" fontId="104" fillId="0" borderId="39" xfId="0" applyNumberFormat="1" applyFont="1" applyFill="1" applyBorder="1" applyAlignment="1">
      <alignment horizontal="center" vertical="center"/>
    </xf>
    <xf numFmtId="3" fontId="104" fillId="0" borderId="64" xfId="0" applyNumberFormat="1" applyFont="1" applyFill="1" applyBorder="1" applyAlignment="1">
      <alignment horizontal="center" vertical="center"/>
    </xf>
    <xf numFmtId="3" fontId="104" fillId="0" borderId="60" xfId="0" applyNumberFormat="1" applyFont="1" applyFill="1" applyBorder="1" applyAlignment="1">
      <alignment horizontal="center" vertical="center"/>
    </xf>
    <xf numFmtId="0" fontId="105" fillId="0" borderId="45" xfId="0" applyFont="1" applyBorder="1" applyAlignment="1">
      <alignment horizontal="left"/>
    </xf>
    <xf numFmtId="0" fontId="105" fillId="0" borderId="58" xfId="0" applyFont="1" applyBorder="1" applyAlignment="1">
      <alignment horizontal="left"/>
    </xf>
    <xf numFmtId="0" fontId="106" fillId="37" borderId="24" xfId="0" applyFont="1" applyFill="1" applyBorder="1" applyAlignment="1">
      <alignment horizontal="center" vertical="center"/>
    </xf>
    <xf numFmtId="0" fontId="106" fillId="37" borderId="87" xfId="0" applyFont="1" applyFill="1" applyBorder="1" applyAlignment="1">
      <alignment horizontal="center" vertical="center"/>
    </xf>
    <xf numFmtId="0" fontId="106" fillId="37" borderId="77" xfId="0" applyFont="1" applyFill="1" applyBorder="1" applyAlignment="1">
      <alignment horizontal="center" vertical="center"/>
    </xf>
    <xf numFmtId="3" fontId="104" fillId="0" borderId="65" xfId="0" applyNumberFormat="1" applyFont="1" applyBorder="1" applyAlignment="1">
      <alignment horizontal="center" vertical="center"/>
    </xf>
    <xf numFmtId="3" fontId="104" fillId="0" borderId="23" xfId="0" applyNumberFormat="1" applyFont="1" applyBorder="1" applyAlignment="1">
      <alignment horizontal="center" vertical="center"/>
    </xf>
    <xf numFmtId="3" fontId="104" fillId="0" borderId="20" xfId="0" applyNumberFormat="1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106" fillId="0" borderId="45" xfId="0" applyFont="1" applyBorder="1" applyAlignment="1">
      <alignment horizontal="center"/>
    </xf>
    <xf numFmtId="0" fontId="106" fillId="0" borderId="57" xfId="0" applyFont="1" applyBorder="1" applyAlignment="1">
      <alignment horizontal="center"/>
    </xf>
    <xf numFmtId="0" fontId="106" fillId="0" borderId="45" xfId="0" applyFont="1" applyFill="1" applyBorder="1" applyAlignment="1">
      <alignment horizontal="center"/>
    </xf>
    <xf numFmtId="0" fontId="106" fillId="0" borderId="57" xfId="0" applyFont="1" applyFill="1" applyBorder="1" applyAlignment="1">
      <alignment horizontal="center"/>
    </xf>
    <xf numFmtId="0" fontId="106" fillId="0" borderId="45" xfId="0" applyFont="1" applyBorder="1" applyAlignment="1">
      <alignment horizontal="center" vertical="center"/>
    </xf>
    <xf numFmtId="0" fontId="106" fillId="0" borderId="57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56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106" fillId="0" borderId="35" xfId="0" applyFont="1" applyBorder="1" applyAlignment="1">
      <alignment horizontal="center"/>
    </xf>
    <xf numFmtId="0" fontId="106" fillId="0" borderId="32" xfId="0" applyFont="1" applyBorder="1" applyAlignment="1">
      <alignment horizontal="center"/>
    </xf>
    <xf numFmtId="0" fontId="106" fillId="0" borderId="11" xfId="0" applyFont="1" applyBorder="1" applyAlignment="1">
      <alignment horizontal="center"/>
    </xf>
    <xf numFmtId="3" fontId="123" fillId="0" borderId="59" xfId="53" applyNumberFormat="1" applyFont="1" applyBorder="1" applyAlignment="1">
      <alignment horizontal="left" vertical="center" wrapText="1"/>
      <protection/>
    </xf>
    <xf numFmtId="0" fontId="113" fillId="0" borderId="0" xfId="53" applyFont="1" applyAlignment="1">
      <alignment horizontal="left"/>
      <protection/>
    </xf>
    <xf numFmtId="0" fontId="106" fillId="0" borderId="24" xfId="53" applyFont="1" applyFill="1" applyBorder="1" applyAlignment="1">
      <alignment horizontal="left" vertical="top" wrapText="1"/>
      <protection/>
    </xf>
    <xf numFmtId="0" fontId="106" fillId="0" borderId="87" xfId="53" applyFont="1" applyFill="1" applyBorder="1" applyAlignment="1">
      <alignment horizontal="left" vertical="top" wrapText="1"/>
      <protection/>
    </xf>
    <xf numFmtId="0" fontId="106" fillId="0" borderId="77" xfId="53" applyFont="1" applyFill="1" applyBorder="1" applyAlignment="1">
      <alignment horizontal="left" vertical="top" wrapText="1"/>
      <protection/>
    </xf>
    <xf numFmtId="0" fontId="104" fillId="0" borderId="25" xfId="53" applyFont="1" applyFill="1" applyBorder="1" applyAlignment="1">
      <alignment horizontal="center" vertical="center" wrapText="1"/>
      <protection/>
    </xf>
    <xf numFmtId="0" fontId="104" fillId="0" borderId="14" xfId="53" applyFont="1" applyFill="1" applyBorder="1" applyAlignment="1">
      <alignment horizontal="center" vertical="center" wrapText="1"/>
      <protection/>
    </xf>
    <xf numFmtId="0" fontId="104" fillId="0" borderId="89" xfId="53" applyFont="1" applyFill="1" applyBorder="1" applyAlignment="1">
      <alignment horizontal="center" vertical="center" wrapText="1"/>
      <protection/>
    </xf>
    <xf numFmtId="0" fontId="104" fillId="0" borderId="77" xfId="53" applyFont="1" applyFill="1" applyBorder="1" applyAlignment="1">
      <alignment horizontal="center" vertical="center" wrapText="1"/>
      <protection/>
    </xf>
    <xf numFmtId="0" fontId="104" fillId="0" borderId="39" xfId="53" applyFont="1" applyFill="1" applyBorder="1" applyAlignment="1">
      <alignment horizontal="center" vertical="center" wrapText="1"/>
      <protection/>
    </xf>
    <xf numFmtId="0" fontId="104" fillId="0" borderId="60" xfId="53" applyFont="1" applyFill="1" applyBorder="1" applyAlignment="1">
      <alignment horizontal="center" vertical="center" wrapText="1"/>
      <protection/>
    </xf>
    <xf numFmtId="3" fontId="123" fillId="0" borderId="0" xfId="53" applyNumberFormat="1" applyFont="1" applyBorder="1" applyAlignment="1">
      <alignment horizontal="left" vertical="center" wrapText="1"/>
      <protection/>
    </xf>
    <xf numFmtId="0" fontId="106" fillId="0" borderId="29" xfId="53" applyFont="1" applyFill="1" applyBorder="1" applyAlignment="1">
      <alignment horizontal="left" vertical="top" wrapText="1"/>
      <protection/>
    </xf>
    <xf numFmtId="0" fontId="106" fillId="0" borderId="75" xfId="53" applyFont="1" applyFill="1" applyBorder="1" applyAlignment="1">
      <alignment horizontal="left" vertical="top" wrapText="1"/>
      <protection/>
    </xf>
    <xf numFmtId="0" fontId="106" fillId="0" borderId="72" xfId="53" applyFont="1" applyFill="1" applyBorder="1" applyAlignment="1">
      <alignment horizontal="left" vertical="top" wrapText="1"/>
      <protection/>
    </xf>
    <xf numFmtId="0" fontId="113" fillId="0" borderId="0" xfId="53" applyFont="1" applyAlignment="1">
      <alignment horizontal="center"/>
      <protection/>
    </xf>
    <xf numFmtId="0" fontId="104" fillId="0" borderId="24" xfId="53" applyFont="1" applyFill="1" applyBorder="1" applyAlignment="1">
      <alignment horizontal="center" vertical="top" wrapText="1"/>
      <protection/>
    </xf>
    <xf numFmtId="0" fontId="104" fillId="0" borderId="26" xfId="53" applyFont="1" applyFill="1" applyBorder="1" applyAlignment="1">
      <alignment horizontal="center" vertical="top" wrapText="1"/>
      <protection/>
    </xf>
    <xf numFmtId="0" fontId="104" fillId="0" borderId="45" xfId="53" applyFont="1" applyFill="1" applyBorder="1" applyAlignment="1">
      <alignment horizontal="center" vertical="top" wrapText="1"/>
      <protection/>
    </xf>
    <xf numFmtId="0" fontId="104" fillId="0" borderId="58" xfId="53" applyFont="1" applyFill="1" applyBorder="1" applyAlignment="1">
      <alignment horizontal="center" vertical="top" wrapText="1"/>
      <protection/>
    </xf>
    <xf numFmtId="0" fontId="104" fillId="0" borderId="57" xfId="53" applyFont="1" applyFill="1" applyBorder="1" applyAlignment="1">
      <alignment horizontal="center" vertical="top" wrapText="1"/>
      <protection/>
    </xf>
    <xf numFmtId="0" fontId="104" fillId="0" borderId="48" xfId="53" applyFont="1" applyFill="1" applyBorder="1" applyAlignment="1">
      <alignment horizontal="center" vertical="top" wrapText="1"/>
      <protection/>
    </xf>
    <xf numFmtId="0" fontId="104" fillId="0" borderId="17" xfId="53" applyFont="1" applyFill="1" applyBorder="1" applyAlignment="1">
      <alignment horizontal="center" vertical="top" wrapText="1"/>
      <protection/>
    </xf>
    <xf numFmtId="0" fontId="104" fillId="0" borderId="18" xfId="53" applyFont="1" applyFill="1" applyBorder="1" applyAlignment="1">
      <alignment horizontal="center" vertical="top" wrapText="1"/>
      <protection/>
    </xf>
    <xf numFmtId="0" fontId="7" fillId="0" borderId="24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7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2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быча 2000" xfId="54"/>
    <cellStyle name="Обычный_Прогноз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9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spPr>
            <a:solidFill>
              <a:srgbClr val="D1DE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661338"/>
        <c:axId val="4189995"/>
      </c:bar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1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75"/>
          <c:y val="0.06475"/>
          <c:w val="0.0465"/>
          <c:h val="0.8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.Gaidukov@go-egvekinot.ru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.Gaidukov@go-egvekino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31"/>
  <sheetViews>
    <sheetView tabSelected="1" zoomScaleSheetLayoutView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Y9" sqref="AY9"/>
    </sheetView>
  </sheetViews>
  <sheetFormatPr defaultColWidth="9.00390625" defaultRowHeight="12.75"/>
  <cols>
    <col min="1" max="1" width="98.875" style="184" customWidth="1"/>
    <col min="2" max="2" width="35.125" style="177" bestFit="1" customWidth="1"/>
    <col min="3" max="9" width="8.375" style="177" hidden="1" customWidth="1"/>
    <col min="10" max="10" width="12.875" style="177" hidden="1" customWidth="1"/>
    <col min="11" max="11" width="10.75390625" style="177" hidden="1" customWidth="1"/>
    <col min="12" max="16" width="9.00390625" style="177" bestFit="1" customWidth="1"/>
    <col min="17" max="17" width="10.125" style="177" hidden="1" customWidth="1"/>
    <col min="18" max="18" width="14.875" style="177" hidden="1" customWidth="1"/>
    <col min="19" max="19" width="15.75390625" style="177" hidden="1" customWidth="1"/>
    <col min="20" max="20" width="10.25390625" style="177" hidden="1" customWidth="1"/>
    <col min="21" max="21" width="11.00390625" style="177" hidden="1" customWidth="1"/>
    <col min="22" max="22" width="8.125" style="177" hidden="1" customWidth="1"/>
    <col min="23" max="23" width="11.00390625" style="177" hidden="1" customWidth="1"/>
    <col min="24" max="32" width="9.125" style="177" hidden="1" customWidth="1"/>
    <col min="33" max="48" width="0" style="177" hidden="1" customWidth="1"/>
    <col min="49" max="16384" width="9.125" style="177" customWidth="1"/>
  </cols>
  <sheetData>
    <row r="1" spans="1:17" ht="12.75" customHeight="1">
      <c r="A1" s="175"/>
      <c r="B1" s="484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1270"/>
      <c r="O1" s="1270"/>
      <c r="P1" s="1271"/>
      <c r="Q1" s="421"/>
    </row>
    <row r="2" spans="1:53" s="1043" customFormat="1" ht="32.25" customHeight="1" thickBot="1">
      <c r="A2" s="1280" t="s">
        <v>409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042"/>
      <c r="AW2" s="1272"/>
      <c r="AX2" s="1272"/>
      <c r="AY2" s="1272"/>
      <c r="AZ2" s="1272"/>
      <c r="BA2" s="1272"/>
    </row>
    <row r="3" spans="1:17" s="1043" customFormat="1" ht="12.75">
      <c r="A3" s="1281" t="s">
        <v>0</v>
      </c>
      <c r="B3" s="1283" t="s">
        <v>1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3</v>
      </c>
      <c r="N3" s="1283" t="s">
        <v>4</v>
      </c>
      <c r="O3" s="1285"/>
      <c r="P3" s="1286"/>
      <c r="Q3" s="1042"/>
    </row>
    <row r="4" spans="1:19" s="1043" customFormat="1" ht="18.75" customHeight="1">
      <c r="A4" s="1282"/>
      <c r="B4" s="1284"/>
      <c r="C4" s="1044" t="s">
        <v>5</v>
      </c>
      <c r="D4" s="1044" t="s">
        <v>6</v>
      </c>
      <c r="E4" s="1044" t="s">
        <v>7</v>
      </c>
      <c r="F4" s="1044" t="s">
        <v>8</v>
      </c>
      <c r="G4" s="1044" t="s">
        <v>9</v>
      </c>
      <c r="H4" s="1044" t="s">
        <v>181</v>
      </c>
      <c r="I4" s="1044" t="s">
        <v>184</v>
      </c>
      <c r="J4" s="1044" t="s">
        <v>194</v>
      </c>
      <c r="K4" s="1044" t="s">
        <v>256</v>
      </c>
      <c r="L4" s="1044">
        <v>2017</v>
      </c>
      <c r="M4" s="1044" t="s">
        <v>358</v>
      </c>
      <c r="N4" s="1044" t="s">
        <v>380</v>
      </c>
      <c r="O4" s="1044" t="s">
        <v>410</v>
      </c>
      <c r="P4" s="3" t="s">
        <v>411</v>
      </c>
      <c r="Q4" s="424"/>
      <c r="R4" s="459"/>
      <c r="S4" s="1045"/>
    </row>
    <row r="5" spans="1:18" s="1043" customFormat="1" ht="16.5" customHeight="1">
      <c r="A5" s="1273" t="s">
        <v>507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5"/>
      <c r="Q5" s="425"/>
      <c r="R5" s="426"/>
    </row>
    <row r="6" spans="1:19" s="1059" customFormat="1" ht="15">
      <c r="A6" s="1050" t="s">
        <v>11</v>
      </c>
      <c r="B6" s="1051" t="s">
        <v>12</v>
      </c>
      <c r="C6" s="1052">
        <v>6.019</v>
      </c>
      <c r="D6" s="1053">
        <v>5.897</v>
      </c>
      <c r="E6" s="1053">
        <v>5.277</v>
      </c>
      <c r="F6" s="1053">
        <v>5.352</v>
      </c>
      <c r="G6" s="1053">
        <v>5.141</v>
      </c>
      <c r="H6" s="1054">
        <v>5.197</v>
      </c>
      <c r="I6" s="1054">
        <v>5.122</v>
      </c>
      <c r="J6" s="1054">
        <v>4.814</v>
      </c>
      <c r="K6" s="1054">
        <v>4.692</v>
      </c>
      <c r="L6" s="1054">
        <v>4.734</v>
      </c>
      <c r="M6" s="1054">
        <v>4.75</v>
      </c>
      <c r="N6" s="1054">
        <v>4.8</v>
      </c>
      <c r="O6" s="1054">
        <v>4.85</v>
      </c>
      <c r="P6" s="1055">
        <v>4.9</v>
      </c>
      <c r="Q6" s="1056"/>
      <c r="R6" s="1057">
        <f>M6+L6</f>
        <v>9.484</v>
      </c>
      <c r="S6" s="1058"/>
    </row>
    <row r="7" spans="1:18" s="1059" customFormat="1" ht="15">
      <c r="A7" s="1291" t="s">
        <v>13</v>
      </c>
      <c r="B7" s="1292"/>
      <c r="C7" s="1060">
        <f>SUM((C6/(2202+3923)*100))</f>
        <v>0.09826938775510204</v>
      </c>
      <c r="D7" s="1060">
        <f>SUM(D6/C6*100)</f>
        <v>97.97308523010467</v>
      </c>
      <c r="E7" s="1061">
        <f>SUM((E6/D6)*100)</f>
        <v>89.48617941326098</v>
      </c>
      <c r="F7" s="1061">
        <f>SUM((F6/E6)*100)</f>
        <v>101.42126208072769</v>
      </c>
      <c r="G7" s="1061">
        <f aca="true" t="shared" si="0" ref="G7:M7">SUM(G6/F6*100)</f>
        <v>96.0575485799701</v>
      </c>
      <c r="H7" s="1061">
        <f t="shared" si="0"/>
        <v>101.08928224080917</v>
      </c>
      <c r="I7" s="1061">
        <f t="shared" si="0"/>
        <v>98.55685972676544</v>
      </c>
      <c r="J7" s="1062">
        <f t="shared" si="0"/>
        <v>93.98672393596252</v>
      </c>
      <c r="K7" s="1062">
        <f t="shared" si="0"/>
        <v>97.46572496884089</v>
      </c>
      <c r="L7" s="1062">
        <f t="shared" si="0"/>
        <v>100.89514066496163</v>
      </c>
      <c r="M7" s="1062">
        <f t="shared" si="0"/>
        <v>100.33798056611745</v>
      </c>
      <c r="N7" s="1062">
        <f>SUM(N6/M6*100)</f>
        <v>101.05263157894737</v>
      </c>
      <c r="O7" s="1062">
        <f>SUM((O6/N6)*100)</f>
        <v>101.04166666666667</v>
      </c>
      <c r="P7" s="1063">
        <f>SUM((P6/O6)*100)</f>
        <v>101.03092783505157</v>
      </c>
      <c r="Q7" s="1064"/>
      <c r="R7" s="1057">
        <f>R6/2</f>
        <v>4.742</v>
      </c>
    </row>
    <row r="8" spans="1:18" s="1059" customFormat="1" ht="15">
      <c r="A8" s="1050" t="s">
        <v>14</v>
      </c>
      <c r="B8" s="1051" t="s">
        <v>12</v>
      </c>
      <c r="C8" s="1052">
        <f>492+652+2349</f>
        <v>3493</v>
      </c>
      <c r="D8" s="1053">
        <v>3.435</v>
      </c>
      <c r="E8" s="1053">
        <v>3.258</v>
      </c>
      <c r="F8" s="1053">
        <v>3.168</v>
      </c>
      <c r="G8" s="1053">
        <v>3.058</v>
      </c>
      <c r="H8" s="1054">
        <v>3.193</v>
      </c>
      <c r="I8" s="1054">
        <v>3.2</v>
      </c>
      <c r="J8" s="1054">
        <f>2.815+0.155</f>
        <v>2.9699999999999998</v>
      </c>
      <c r="K8" s="1054">
        <v>2.86</v>
      </c>
      <c r="L8" s="1054">
        <v>3.039</v>
      </c>
      <c r="M8" s="1054">
        <v>3.045</v>
      </c>
      <c r="N8" s="1054">
        <v>3.05</v>
      </c>
      <c r="O8" s="1054">
        <v>3.08</v>
      </c>
      <c r="P8" s="1055">
        <v>3.1</v>
      </c>
      <c r="Q8" s="1056"/>
      <c r="R8" s="1057"/>
    </row>
    <row r="9" spans="1:18" s="1059" customFormat="1" ht="15">
      <c r="A9" s="1291" t="s">
        <v>13</v>
      </c>
      <c r="B9" s="1292"/>
      <c r="C9" s="1061">
        <f>SUM(C8/3559*100)</f>
        <v>98.14554650182636</v>
      </c>
      <c r="D9" s="1061">
        <f>SUM(D8/C8*100)</f>
        <v>0.09833953621528771</v>
      </c>
      <c r="E9" s="1061">
        <f>SUM(E8/D8*100)</f>
        <v>94.8471615720524</v>
      </c>
      <c r="F9" s="1061">
        <f>SUM(F8/E8*100)</f>
        <v>97.23756906077348</v>
      </c>
      <c r="G9" s="1061">
        <f aca="true" t="shared" si="1" ref="G9:M9">SUM(G8/F8*100)</f>
        <v>96.52777777777777</v>
      </c>
      <c r="H9" s="1061">
        <f t="shared" si="1"/>
        <v>104.41465009810334</v>
      </c>
      <c r="I9" s="1061">
        <f t="shared" si="1"/>
        <v>100.21922956467273</v>
      </c>
      <c r="J9" s="1062">
        <f t="shared" si="1"/>
        <v>92.81249999999999</v>
      </c>
      <c r="K9" s="1062">
        <f t="shared" si="1"/>
        <v>96.2962962962963</v>
      </c>
      <c r="L9" s="1062">
        <f t="shared" si="1"/>
        <v>106.25874125874127</v>
      </c>
      <c r="M9" s="1062">
        <f t="shared" si="1"/>
        <v>100.1974333662389</v>
      </c>
      <c r="N9" s="1062">
        <f>SUM(N8/M8*100)</f>
        <v>100.16420361247947</v>
      </c>
      <c r="O9" s="1062">
        <f>SUM(O8/N8*100)</f>
        <v>100.98360655737706</v>
      </c>
      <c r="P9" s="1063">
        <f>SUM(P8/O8*100)</f>
        <v>100.64935064935065</v>
      </c>
      <c r="Q9" s="1065"/>
      <c r="R9" s="1066"/>
    </row>
    <row r="10" spans="1:22" s="1059" customFormat="1" ht="15">
      <c r="A10" s="1050" t="s">
        <v>15</v>
      </c>
      <c r="B10" s="1051" t="s">
        <v>12</v>
      </c>
      <c r="C10" s="1052">
        <f aca="true" t="shared" si="2" ref="C10:P10">C6-C8</f>
        <v>-3486.981</v>
      </c>
      <c r="D10" s="1053">
        <f t="shared" si="2"/>
        <v>2.462</v>
      </c>
      <c r="E10" s="1053">
        <f>E6-E8</f>
        <v>2.019</v>
      </c>
      <c r="F10" s="1053">
        <f>F6-F8</f>
        <v>2.184</v>
      </c>
      <c r="G10" s="1053">
        <f t="shared" si="2"/>
        <v>2.083</v>
      </c>
      <c r="H10" s="1054">
        <f>H6-H8+0.01</f>
        <v>2.014</v>
      </c>
      <c r="I10" s="1054">
        <f>I6-I8</f>
        <v>1.9219999999999997</v>
      </c>
      <c r="J10" s="1054">
        <f t="shared" si="2"/>
        <v>1.8440000000000003</v>
      </c>
      <c r="K10" s="1054">
        <f t="shared" si="2"/>
        <v>1.8320000000000003</v>
      </c>
      <c r="L10" s="1054">
        <f>L6-L8</f>
        <v>1.6949999999999998</v>
      </c>
      <c r="M10" s="1054">
        <f>M6-M8</f>
        <v>1.705</v>
      </c>
      <c r="N10" s="1054">
        <f t="shared" si="2"/>
        <v>1.75</v>
      </c>
      <c r="O10" s="1054">
        <f t="shared" si="2"/>
        <v>1.7699999999999996</v>
      </c>
      <c r="P10" s="1055">
        <f t="shared" si="2"/>
        <v>1.8000000000000003</v>
      </c>
      <c r="Q10" s="1067"/>
      <c r="R10" s="1067"/>
      <c r="S10" s="1068"/>
      <c r="T10" s="1068"/>
      <c r="U10" s="1068"/>
      <c r="V10" s="1068"/>
    </row>
    <row r="11" spans="1:22" s="1043" customFormat="1" ht="16.5" customHeight="1">
      <c r="A11" s="1273" t="s">
        <v>16</v>
      </c>
      <c r="B11" s="1274"/>
      <c r="C11" s="1274"/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4"/>
      <c r="P11" s="1275"/>
      <c r="Q11" s="425"/>
      <c r="R11" s="427"/>
      <c r="S11" s="1046"/>
      <c r="T11" s="1046"/>
      <c r="U11" s="1046"/>
      <c r="V11" s="1046"/>
    </row>
    <row r="12" spans="1:22" s="1059" customFormat="1" ht="15">
      <c r="A12" s="1276" t="s">
        <v>532</v>
      </c>
      <c r="B12" s="1277"/>
      <c r="C12" s="1278"/>
      <c r="D12" s="1278"/>
      <c r="E12" s="1278"/>
      <c r="F12" s="1278"/>
      <c r="G12" s="1278"/>
      <c r="H12" s="1278"/>
      <c r="I12" s="1278"/>
      <c r="J12" s="1278"/>
      <c r="K12" s="1278"/>
      <c r="L12" s="1278"/>
      <c r="M12" s="1278"/>
      <c r="N12" s="1278"/>
      <c r="O12" s="1278"/>
      <c r="P12" s="1279"/>
      <c r="Q12" s="1071"/>
      <c r="R12" s="1072"/>
      <c r="S12" s="1068"/>
      <c r="T12" s="1068"/>
      <c r="U12" s="1068"/>
      <c r="V12" s="1073"/>
    </row>
    <row r="13" spans="1:25" s="1059" customFormat="1" ht="15">
      <c r="A13" s="1074" t="s">
        <v>18</v>
      </c>
      <c r="B13" s="1228" t="s">
        <v>19</v>
      </c>
      <c r="C13" s="1075">
        <f>182.842+293.508+176.248+7.989+380.445+34.892+62.635+2.06</f>
        <v>1140.619</v>
      </c>
      <c r="D13" s="1075">
        <v>1879.3</v>
      </c>
      <c r="E13" s="1075">
        <f>390.6+793.14*1000*1700/1000000</f>
        <v>1738.938</v>
      </c>
      <c r="F13" s="1075">
        <f>413+413+837.79*1000*1700/1000000</f>
        <v>2250.243</v>
      </c>
      <c r="G13" s="1076">
        <f>617.4+607.4+1089.505*1000*1600/1000000</f>
        <v>2968.008</v>
      </c>
      <c r="H13" s="1076">
        <f>655.1+381+1072*1000*1400/1000000</f>
        <v>2536.8999999999996</v>
      </c>
      <c r="I13" s="1076">
        <f>668.3+368+1047.144*1000*1729/1000000</f>
        <v>2846.811976</v>
      </c>
      <c r="J13" s="1076">
        <f>680.4+433.3+1007.06*1000*2329.75/1000000</f>
        <v>3459.898035</v>
      </c>
      <c r="K13" s="1076">
        <f>700+492.8+202.7+985.788*1000*2260.43/1000000</f>
        <v>3623.8047688399997</v>
      </c>
      <c r="L13" s="1235">
        <f>526.814+370.2+178.597+1063.659*1000*2366/1000000</f>
        <v>3592.228194</v>
      </c>
      <c r="M13" s="1235">
        <f>574.495+368.8+193.254+1063.659*1000*2620/1000000</f>
        <v>3923.33558</v>
      </c>
      <c r="N13" s="1235">
        <f>658.809+379+189.829+1100*1000*2650/1000000</f>
        <v>4142.638</v>
      </c>
      <c r="O13" s="1235">
        <f>(600+438+189)*101%+(1100*1000*2700/1000000)</f>
        <v>4209.27</v>
      </c>
      <c r="P13" s="1236">
        <f>(600+438+189)*102%+(1100*1000*2750/1000000)</f>
        <v>4276.54</v>
      </c>
      <c r="Q13" s="1078"/>
      <c r="R13" s="1072"/>
      <c r="S13" s="1079"/>
      <c r="T13" s="1080"/>
      <c r="Y13" s="1081"/>
    </row>
    <row r="14" spans="1:26" s="1059" customFormat="1" ht="15">
      <c r="A14" s="1291" t="s">
        <v>20</v>
      </c>
      <c r="B14" s="1292"/>
      <c r="C14" s="1082"/>
      <c r="D14" s="1082">
        <f aca="true" t="shared" si="3" ref="D14:P14">D13/C13*100</f>
        <v>164.7614146353866</v>
      </c>
      <c r="E14" s="1082">
        <f t="shared" si="3"/>
        <v>92.53115521736818</v>
      </c>
      <c r="F14" s="1082">
        <f t="shared" si="3"/>
        <v>129.40329097414627</v>
      </c>
      <c r="G14" s="1082">
        <f t="shared" si="3"/>
        <v>131.89722176671586</v>
      </c>
      <c r="H14" s="1082">
        <f t="shared" si="3"/>
        <v>85.47483699504852</v>
      </c>
      <c r="I14" s="1082">
        <f t="shared" si="3"/>
        <v>112.21616839449725</v>
      </c>
      <c r="J14" s="1083">
        <f t="shared" si="3"/>
        <v>121.53588168690493</v>
      </c>
      <c r="K14" s="1083">
        <f t="shared" si="3"/>
        <v>104.73732844673268</v>
      </c>
      <c r="L14" s="1083">
        <f t="shared" si="3"/>
        <v>99.12863476775799</v>
      </c>
      <c r="M14" s="1083">
        <f t="shared" si="3"/>
        <v>109.21732607502608</v>
      </c>
      <c r="N14" s="1083">
        <f t="shared" si="3"/>
        <v>105.58969314574922</v>
      </c>
      <c r="O14" s="1083">
        <f t="shared" si="3"/>
        <v>101.60844370181515</v>
      </c>
      <c r="P14" s="1084">
        <f t="shared" si="3"/>
        <v>101.598139344827</v>
      </c>
      <c r="Q14" s="1085"/>
      <c r="R14" s="1072"/>
      <c r="S14" s="1068"/>
      <c r="T14" s="1068"/>
      <c r="U14" s="1068"/>
      <c r="V14" s="1068"/>
      <c r="Y14" s="1086"/>
      <c r="Z14" s="1081"/>
    </row>
    <row r="15" spans="1:22" s="1059" customFormat="1" ht="15">
      <c r="A15" s="1276" t="s">
        <v>21</v>
      </c>
      <c r="B15" s="1278"/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9"/>
      <c r="Q15" s="1071"/>
      <c r="R15" s="1072"/>
      <c r="S15" s="1068"/>
      <c r="T15" s="1068"/>
      <c r="U15" s="1068"/>
      <c r="V15" s="1068"/>
    </row>
    <row r="16" spans="1:19" s="1059" customFormat="1" ht="15">
      <c r="A16" s="1276" t="s">
        <v>523</v>
      </c>
      <c r="B16" s="1278"/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9"/>
      <c r="Q16" s="1071"/>
      <c r="R16" s="1072"/>
      <c r="S16" s="1068"/>
    </row>
    <row r="17" spans="1:18" s="1059" customFormat="1" ht="15">
      <c r="A17" s="1050" t="s">
        <v>18</v>
      </c>
      <c r="B17" s="1228" t="s">
        <v>23</v>
      </c>
      <c r="C17" s="1239">
        <f>293.508+34.892</f>
        <v>328.4</v>
      </c>
      <c r="D17" s="1239">
        <v>409.4</v>
      </c>
      <c r="E17" s="1239">
        <f>390.6</f>
        <v>390.6</v>
      </c>
      <c r="F17" s="1239">
        <f>413+53.4</f>
        <v>466.4</v>
      </c>
      <c r="G17" s="1239">
        <f>617.4+94.6</f>
        <v>712</v>
      </c>
      <c r="H17" s="1239">
        <f>655.1+71</f>
        <v>726.1</v>
      </c>
      <c r="I17" s="1239">
        <v>735.3</v>
      </c>
      <c r="J17" s="1239">
        <v>785</v>
      </c>
      <c r="K17" s="1239">
        <f>391+121.3</f>
        <v>512.3</v>
      </c>
      <c r="L17" s="1239">
        <f>180.73+33.7</f>
        <v>214.43</v>
      </c>
      <c r="M17" s="1239">
        <f>196.848+33</f>
        <v>229.848</v>
      </c>
      <c r="N17" s="1239">
        <f>231.817+34</f>
        <v>265.817</v>
      </c>
      <c r="O17" s="1239">
        <v>270</v>
      </c>
      <c r="P17" s="1240">
        <v>290</v>
      </c>
      <c r="Q17" s="1087"/>
      <c r="R17" s="1088"/>
    </row>
    <row r="18" spans="1:18" s="1059" customFormat="1" ht="15">
      <c r="A18" s="1291" t="s">
        <v>20</v>
      </c>
      <c r="B18" s="1292"/>
      <c r="C18" s="1089"/>
      <c r="D18" s="1090">
        <f>SUM((D17/C17)*100)</f>
        <v>124.66504263093788</v>
      </c>
      <c r="E18" s="1090">
        <f>SUM((E17/D17)*100)</f>
        <v>95.40791402051784</v>
      </c>
      <c r="F18" s="1090">
        <f>SUM((F17/E17)*100)</f>
        <v>119.40604198668714</v>
      </c>
      <c r="G18" s="1090">
        <f>SUM((G17/F17)*100)</f>
        <v>152.65866209262435</v>
      </c>
      <c r="H18" s="1090">
        <f>SUM((H17/G17)*100)</f>
        <v>101.98033707865169</v>
      </c>
      <c r="I18" s="1090">
        <f>SUM((I17/G17)*100)</f>
        <v>103.27247191011236</v>
      </c>
      <c r="J18" s="1090">
        <f aca="true" t="shared" si="4" ref="J18:P18">SUM((J17/I17)*100)</f>
        <v>106.7591459268326</v>
      </c>
      <c r="K18" s="1090">
        <f t="shared" si="4"/>
        <v>65.26114649681529</v>
      </c>
      <c r="L18" s="1090">
        <f t="shared" si="4"/>
        <v>41.85633417919188</v>
      </c>
      <c r="M18" s="1090">
        <f t="shared" si="4"/>
        <v>107.1902252483328</v>
      </c>
      <c r="N18" s="1090">
        <f>SUM((N17/M17)*100)</f>
        <v>115.64903762486512</v>
      </c>
      <c r="O18" s="1090">
        <f t="shared" si="4"/>
        <v>101.57363900728697</v>
      </c>
      <c r="P18" s="1091">
        <f t="shared" si="4"/>
        <v>107.40740740740742</v>
      </c>
      <c r="Q18" s="1092"/>
      <c r="R18" s="1088"/>
    </row>
    <row r="19" spans="1:18" s="1059" customFormat="1" ht="15">
      <c r="A19" s="1276" t="s">
        <v>24</v>
      </c>
      <c r="B19" s="1277"/>
      <c r="C19" s="1278"/>
      <c r="D19" s="1278"/>
      <c r="E19" s="1278"/>
      <c r="F19" s="1278"/>
      <c r="G19" s="1278"/>
      <c r="H19" s="1278"/>
      <c r="I19" s="1278"/>
      <c r="J19" s="1278"/>
      <c r="K19" s="1278"/>
      <c r="L19" s="1278"/>
      <c r="M19" s="1278"/>
      <c r="N19" s="1278"/>
      <c r="O19" s="1278"/>
      <c r="P19" s="1279"/>
      <c r="Q19" s="1092"/>
      <c r="R19" s="1088"/>
    </row>
    <row r="20" spans="1:18" s="1059" customFormat="1" ht="15">
      <c r="A20" s="1253" t="s">
        <v>25</v>
      </c>
      <c r="B20" s="1254" t="s">
        <v>26</v>
      </c>
      <c r="C20" s="1140">
        <v>57967</v>
      </c>
      <c r="D20" s="1140">
        <v>66121.3</v>
      </c>
      <c r="E20" s="1140">
        <v>54347</v>
      </c>
      <c r="F20" s="1140">
        <f>10632.264+49729</f>
        <v>60361.263999999996</v>
      </c>
      <c r="G20" s="1140">
        <f>4392.586+42492</f>
        <v>46884.586</v>
      </c>
      <c r="H20" s="1255">
        <f>51433+9743.1</f>
        <v>61176.1</v>
      </c>
      <c r="I20" s="1255">
        <v>58285.55</v>
      </c>
      <c r="J20" s="1255">
        <v>55581.7</v>
      </c>
      <c r="K20" s="1255">
        <v>49971.5</v>
      </c>
      <c r="L20" s="1256">
        <v>50900.7</v>
      </c>
      <c r="M20" s="1256">
        <v>52441.1</v>
      </c>
      <c r="N20" s="1256">
        <v>55325</v>
      </c>
      <c r="O20" s="1256">
        <v>55878.25</v>
      </c>
      <c r="P20" s="1257">
        <v>56437</v>
      </c>
      <c r="Q20" s="1092"/>
      <c r="R20" s="1088"/>
    </row>
    <row r="21" spans="1:18" s="1059" customFormat="1" ht="15">
      <c r="A21" s="1297" t="s">
        <v>27</v>
      </c>
      <c r="B21" s="1298"/>
      <c r="C21" s="1298"/>
      <c r="D21" s="1298"/>
      <c r="E21" s="1298"/>
      <c r="F21" s="1298"/>
      <c r="G21" s="1298"/>
      <c r="H21" s="1298"/>
      <c r="I21" s="1298"/>
      <c r="J21" s="1298"/>
      <c r="K21" s="1298"/>
      <c r="L21" s="1298"/>
      <c r="M21" s="1298"/>
      <c r="N21" s="1298"/>
      <c r="O21" s="1298"/>
      <c r="P21" s="1279"/>
      <c r="Q21" s="1092"/>
      <c r="R21" s="1088"/>
    </row>
    <row r="22" spans="1:18" s="1059" customFormat="1" ht="15">
      <c r="A22" s="1253" t="s">
        <v>284</v>
      </c>
      <c r="B22" s="1258" t="s">
        <v>26</v>
      </c>
      <c r="C22" s="1140">
        <f>1429.2+47882.6</f>
        <v>49311.799999999996</v>
      </c>
      <c r="D22" s="1140">
        <v>51481.7</v>
      </c>
      <c r="E22" s="1140">
        <v>46850</v>
      </c>
      <c r="F22" s="1140">
        <f>536.883+42338</f>
        <v>42874.883</v>
      </c>
      <c r="G22" s="1140">
        <f>876.06+35020</f>
        <v>35896.06</v>
      </c>
      <c r="H22" s="1255">
        <f>28334</f>
        <v>28334</v>
      </c>
      <c r="I22" s="1255">
        <v>41104</v>
      </c>
      <c r="J22" s="1255">
        <v>41845.9</v>
      </c>
      <c r="K22" s="1255">
        <v>35997.5</v>
      </c>
      <c r="L22" s="1255">
        <v>39766.5</v>
      </c>
      <c r="M22" s="1255">
        <v>39250.5</v>
      </c>
      <c r="N22" s="1255">
        <v>42500.1</v>
      </c>
      <c r="O22" s="1255">
        <v>42925.1</v>
      </c>
      <c r="P22" s="1259">
        <v>43354.35</v>
      </c>
      <c r="Q22" s="1092"/>
      <c r="R22" s="1088"/>
    </row>
    <row r="23" spans="1:18" s="1059" customFormat="1" ht="15">
      <c r="A23" s="1260" t="s">
        <v>285</v>
      </c>
      <c r="B23" s="1258" t="s">
        <v>26</v>
      </c>
      <c r="C23" s="1140">
        <f>63.6+74.94</f>
        <v>138.54</v>
      </c>
      <c r="D23" s="1140">
        <v>168.1</v>
      </c>
      <c r="E23" s="1140">
        <v>105</v>
      </c>
      <c r="F23" s="1140">
        <f>61.894+92</f>
        <v>153.894</v>
      </c>
      <c r="G23" s="1140">
        <f>48.665+86</f>
        <v>134.665</v>
      </c>
      <c r="H23" s="1255">
        <f>154+61.4</f>
        <v>215.4</v>
      </c>
      <c r="I23" s="1255">
        <v>184.3</v>
      </c>
      <c r="J23" s="1255">
        <v>2130.8</v>
      </c>
      <c r="K23" s="1255">
        <v>2212</v>
      </c>
      <c r="L23" s="1255">
        <v>279.6</v>
      </c>
      <c r="M23" s="1255">
        <v>487.7</v>
      </c>
      <c r="N23" s="1255">
        <v>567.7</v>
      </c>
      <c r="O23" s="1255">
        <v>573.38</v>
      </c>
      <c r="P23" s="1259">
        <v>579.11</v>
      </c>
      <c r="Q23" s="1092"/>
      <c r="R23" s="1088"/>
    </row>
    <row r="24" spans="1:18" s="1059" customFormat="1" ht="15">
      <c r="A24" s="1253" t="s">
        <v>291</v>
      </c>
      <c r="B24" s="1258" t="s">
        <v>26</v>
      </c>
      <c r="C24" s="1140">
        <f>2314.7+2500.53</f>
        <v>4815.23</v>
      </c>
      <c r="D24" s="1140">
        <v>4811.7</v>
      </c>
      <c r="E24" s="1140">
        <v>3176</v>
      </c>
      <c r="F24" s="1140">
        <f>1760.159+3386</f>
        <v>5146.159</v>
      </c>
      <c r="G24" s="1140">
        <f>2081.551+3283</f>
        <v>5364.5509999999995</v>
      </c>
      <c r="H24" s="1255">
        <f>3515+1941.2</f>
        <v>5456.2</v>
      </c>
      <c r="I24" s="1255">
        <v>5248.3</v>
      </c>
      <c r="J24" s="1255">
        <v>4733.8</v>
      </c>
      <c r="K24" s="1255">
        <v>5132.1</v>
      </c>
      <c r="L24" s="1255">
        <v>4829.8</v>
      </c>
      <c r="M24" s="1255">
        <v>5059.9</v>
      </c>
      <c r="N24" s="1255">
        <v>4935.6</v>
      </c>
      <c r="O24" s="1255">
        <v>4984.96</v>
      </c>
      <c r="P24" s="1259">
        <v>5034.81</v>
      </c>
      <c r="Q24" s="1092"/>
      <c r="R24" s="1088"/>
    </row>
    <row r="25" spans="1:18" s="1059" customFormat="1" ht="15">
      <c r="A25" s="1276" t="s">
        <v>522</v>
      </c>
      <c r="B25" s="1277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9"/>
      <c r="Q25" s="1071"/>
      <c r="R25" s="1088"/>
    </row>
    <row r="26" spans="1:18" s="1059" customFormat="1" ht="15">
      <c r="A26" s="1050" t="s">
        <v>18</v>
      </c>
      <c r="B26" s="1228" t="s">
        <v>23</v>
      </c>
      <c r="C26" s="1231" t="e">
        <f>C29+C31+#REF!</f>
        <v>#REF!</v>
      </c>
      <c r="D26" s="1231" t="e">
        <f>D29+D31+#REF!</f>
        <v>#REF!</v>
      </c>
      <c r="E26" s="1231" t="e">
        <f>E29+E31+#REF!</f>
        <v>#REF!</v>
      </c>
      <c r="F26" s="1231" t="e">
        <f>F29+F31+#REF!</f>
        <v>#REF!</v>
      </c>
      <c r="G26" s="1231" t="e">
        <f>G29+G31+#REF!</f>
        <v>#REF!</v>
      </c>
      <c r="H26" s="1231" t="e">
        <f>H29+H31+#REF!</f>
        <v>#REF!</v>
      </c>
      <c r="I26" s="1231" t="e">
        <f>I29+I31+#REF!</f>
        <v>#REF!</v>
      </c>
      <c r="J26" s="1231" t="e">
        <f>J29+J31+#REF!</f>
        <v>#REF!</v>
      </c>
      <c r="K26" s="1231">
        <f aca="true" t="shared" si="5" ref="K26:P26">K29+K31</f>
        <v>102.4</v>
      </c>
      <c r="L26" s="1231">
        <f t="shared" si="5"/>
        <v>112.81</v>
      </c>
      <c r="M26" s="1231">
        <f t="shared" si="5"/>
        <v>129.024</v>
      </c>
      <c r="N26" s="1231">
        <f t="shared" si="5"/>
        <v>93.544</v>
      </c>
      <c r="O26" s="1231">
        <f t="shared" si="5"/>
        <v>93.544</v>
      </c>
      <c r="P26" s="1232">
        <f t="shared" si="5"/>
        <v>93.544</v>
      </c>
      <c r="Q26" s="1093"/>
      <c r="R26" s="1088"/>
    </row>
    <row r="27" spans="1:18" s="1059" customFormat="1" ht="15">
      <c r="A27" s="1291" t="s">
        <v>20</v>
      </c>
      <c r="B27" s="1292"/>
      <c r="C27" s="1089"/>
      <c r="D27" s="1089" t="e">
        <f aca="true" t="shared" si="6" ref="D27:J27">SUM(D26/C26*100)</f>
        <v>#REF!</v>
      </c>
      <c r="E27" s="1089" t="e">
        <f t="shared" si="6"/>
        <v>#REF!</v>
      </c>
      <c r="F27" s="1089" t="e">
        <f t="shared" si="6"/>
        <v>#REF!</v>
      </c>
      <c r="G27" s="1089" t="e">
        <f t="shared" si="6"/>
        <v>#REF!</v>
      </c>
      <c r="H27" s="1089" t="e">
        <f t="shared" si="6"/>
        <v>#REF!</v>
      </c>
      <c r="I27" s="1094" t="e">
        <f t="shared" si="6"/>
        <v>#REF!</v>
      </c>
      <c r="J27" s="1094" t="e">
        <f t="shared" si="6"/>
        <v>#REF!</v>
      </c>
      <c r="K27" s="1095" t="e">
        <f>SUM((K26/J26)*100)</f>
        <v>#REF!</v>
      </c>
      <c r="L27" s="1095">
        <f>SUM((L26/K26)*100)</f>
        <v>110.16601562499999</v>
      </c>
      <c r="M27" s="1095">
        <f>SUM((M26/L26)*100)</f>
        <v>114.37283928729723</v>
      </c>
      <c r="N27" s="1095">
        <f>SUM((N26/L26)*100)</f>
        <v>82.92172679726974</v>
      </c>
      <c r="O27" s="1096">
        <f>SUM(O26/N26*100)</f>
        <v>100</v>
      </c>
      <c r="P27" s="1097">
        <f>SUM(P26/O26*100)</f>
        <v>100</v>
      </c>
      <c r="Q27" s="1098"/>
      <c r="R27" s="1088"/>
    </row>
    <row r="28" spans="1:18" s="1059" customFormat="1" ht="15">
      <c r="A28" s="1276" t="s">
        <v>32</v>
      </c>
      <c r="B28" s="1278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9"/>
      <c r="Q28" s="1071"/>
      <c r="R28" s="1088"/>
    </row>
    <row r="29" spans="1:18" s="1059" customFormat="1" ht="15">
      <c r="A29" s="1099" t="s">
        <v>519</v>
      </c>
      <c r="B29" s="1100" t="s">
        <v>23</v>
      </c>
      <c r="C29" s="1101">
        <f>3.347+6.669+5.35</f>
        <v>15.366</v>
      </c>
      <c r="D29" s="1101">
        <f>11.488+12.184+8.1</f>
        <v>31.772</v>
      </c>
      <c r="E29" s="1101">
        <f>8.945+13.078+20.346</f>
        <v>42.369</v>
      </c>
      <c r="F29" s="1101">
        <f>20.038+14.913+23.332</f>
        <v>58.283</v>
      </c>
      <c r="G29" s="1101">
        <f>27.952+6.418+14.505</f>
        <v>48.87500000000001</v>
      </c>
      <c r="H29" s="1101">
        <v>50.9</v>
      </c>
      <c r="I29" s="1101">
        <v>54.109</v>
      </c>
      <c r="J29" s="1101">
        <v>74.712</v>
      </c>
      <c r="K29" s="1101">
        <v>87</v>
      </c>
      <c r="L29" s="1101">
        <v>87.182</v>
      </c>
      <c r="M29" s="1101">
        <v>100.324</v>
      </c>
      <c r="N29" s="1101">
        <v>63.544</v>
      </c>
      <c r="O29" s="1101">
        <f>N29</f>
        <v>63.544</v>
      </c>
      <c r="P29" s="1102">
        <f>N29</f>
        <v>63.544</v>
      </c>
      <c r="Q29" s="1103"/>
      <c r="R29" s="1088"/>
    </row>
    <row r="30" spans="1:18" s="1059" customFormat="1" ht="15">
      <c r="A30" s="1291" t="s">
        <v>20</v>
      </c>
      <c r="B30" s="1292"/>
      <c r="C30" s="1101"/>
      <c r="D30" s="1104">
        <f aca="true" t="shared" si="7" ref="D30:J30">SUM(D29/C29*100)</f>
        <v>206.76818950930627</v>
      </c>
      <c r="E30" s="1104">
        <f t="shared" si="7"/>
        <v>133.35326702757143</v>
      </c>
      <c r="F30" s="1104">
        <f t="shared" si="7"/>
        <v>137.56048054001747</v>
      </c>
      <c r="G30" s="1104">
        <f t="shared" si="7"/>
        <v>83.85807182197212</v>
      </c>
      <c r="H30" s="1104">
        <f t="shared" si="7"/>
        <v>104.14322250639385</v>
      </c>
      <c r="I30" s="1104">
        <f t="shared" si="7"/>
        <v>106.30451866404715</v>
      </c>
      <c r="J30" s="1105">
        <f t="shared" si="7"/>
        <v>138.0768448871722</v>
      </c>
      <c r="K30" s="1095">
        <f>SUM((K29/J29)*100)</f>
        <v>116.44715708319949</v>
      </c>
      <c r="L30" s="1095">
        <f>SUM((L29/K29)*100)</f>
        <v>100.20919540229885</v>
      </c>
      <c r="M30" s="1095">
        <f>SUM((M29/L29)*100)</f>
        <v>115.07421256681425</v>
      </c>
      <c r="N30" s="1095">
        <f>SUM((N29/L29)*100)</f>
        <v>72.88660503314904</v>
      </c>
      <c r="O30" s="1105">
        <f>SUM(O29/N29*100)</f>
        <v>100</v>
      </c>
      <c r="P30" s="1106">
        <f>SUM(P29/O29*100)</f>
        <v>100</v>
      </c>
      <c r="Q30" s="1107"/>
      <c r="R30" s="1088"/>
    </row>
    <row r="31" spans="1:18" s="1059" customFormat="1" ht="15">
      <c r="A31" s="1108" t="s">
        <v>520</v>
      </c>
      <c r="B31" s="1100" t="s">
        <v>23</v>
      </c>
      <c r="C31" s="1109">
        <f>0.109+0.011+0.414</f>
        <v>0.534</v>
      </c>
      <c r="D31" s="1110">
        <f>0.29</f>
        <v>0.29</v>
      </c>
      <c r="E31" s="1110">
        <v>10.467</v>
      </c>
      <c r="F31" s="1110">
        <v>9.083</v>
      </c>
      <c r="G31" s="1110">
        <v>14.564</v>
      </c>
      <c r="H31" s="1110">
        <v>16.64</v>
      </c>
      <c r="I31" s="1110">
        <v>15.8</v>
      </c>
      <c r="J31" s="1110">
        <v>16.701</v>
      </c>
      <c r="K31" s="1110">
        <v>15.4</v>
      </c>
      <c r="L31" s="1110">
        <v>25.628</v>
      </c>
      <c r="M31" s="1110">
        <v>28.7</v>
      </c>
      <c r="N31" s="1111">
        <v>30</v>
      </c>
      <c r="O31" s="1110">
        <v>30</v>
      </c>
      <c r="P31" s="1112">
        <v>30</v>
      </c>
      <c r="Q31" s="1113"/>
      <c r="R31" s="1088"/>
    </row>
    <row r="32" spans="1:18" s="1059" customFormat="1" ht="15">
      <c r="A32" s="1291" t="s">
        <v>20</v>
      </c>
      <c r="B32" s="1292"/>
      <c r="C32" s="1110"/>
      <c r="D32" s="1114">
        <v>0</v>
      </c>
      <c r="E32" s="1114">
        <v>0</v>
      </c>
      <c r="F32" s="1105">
        <f aca="true" t="shared" si="8" ref="F32:P32">SUM(F31/E31*100)</f>
        <v>86.77749116270182</v>
      </c>
      <c r="G32" s="1105">
        <f t="shared" si="8"/>
        <v>160.34349884399427</v>
      </c>
      <c r="H32" s="1105">
        <f t="shared" si="8"/>
        <v>114.25432573468828</v>
      </c>
      <c r="I32" s="1105">
        <f>SUM(I31/H31*100)</f>
        <v>94.95192307692307</v>
      </c>
      <c r="J32" s="1105">
        <f>SUM(J31/I31*100)</f>
        <v>105.70253164556962</v>
      </c>
      <c r="K32" s="1095">
        <f>SUM((K31/J31)*100)</f>
        <v>92.21004730255673</v>
      </c>
      <c r="L32" s="1095">
        <f>SUM((L31/K31)*100)</f>
        <v>166.41558441558442</v>
      </c>
      <c r="M32" s="1095">
        <f>SUM((M31/L31)*100)</f>
        <v>111.9868893397846</v>
      </c>
      <c r="N32" s="1095">
        <f>SUM((N31/M31)*100)</f>
        <v>104.52961672473869</v>
      </c>
      <c r="O32" s="1105">
        <f t="shared" si="8"/>
        <v>100</v>
      </c>
      <c r="P32" s="1106">
        <f t="shared" si="8"/>
        <v>100</v>
      </c>
      <c r="Q32" s="1107"/>
      <c r="R32" s="1088"/>
    </row>
    <row r="33" spans="1:18" s="1059" customFormat="1" ht="28.5">
      <c r="A33" s="1143" t="s">
        <v>518</v>
      </c>
      <c r="B33" s="1228" t="s">
        <v>39</v>
      </c>
      <c r="C33" s="1229">
        <v>4</v>
      </c>
      <c r="D33" s="1229">
        <v>4</v>
      </c>
      <c r="E33" s="1229">
        <v>4</v>
      </c>
      <c r="F33" s="1229">
        <v>4</v>
      </c>
      <c r="G33" s="1230">
        <f>G35+G36</f>
        <v>4</v>
      </c>
      <c r="H33" s="1230">
        <v>4</v>
      </c>
      <c r="I33" s="1230">
        <f aca="true" t="shared" si="9" ref="I33:P33">I35+I36</f>
        <v>4</v>
      </c>
      <c r="J33" s="1230">
        <f t="shared" si="9"/>
        <v>4</v>
      </c>
      <c r="K33" s="1230">
        <f t="shared" si="9"/>
        <v>4</v>
      </c>
      <c r="L33" s="1233">
        <f>L35+L36</f>
        <v>4</v>
      </c>
      <c r="M33" s="1233">
        <v>4</v>
      </c>
      <c r="N33" s="1233">
        <f t="shared" si="9"/>
        <v>4</v>
      </c>
      <c r="O33" s="1233">
        <f t="shared" si="9"/>
        <v>4</v>
      </c>
      <c r="P33" s="1234">
        <f t="shared" si="9"/>
        <v>4</v>
      </c>
      <c r="Q33" s="1118"/>
      <c r="R33" s="1088"/>
    </row>
    <row r="34" spans="1:18" s="1059" customFormat="1" ht="15">
      <c r="A34" s="1276" t="s">
        <v>32</v>
      </c>
      <c r="B34" s="1278"/>
      <c r="C34" s="1278"/>
      <c r="D34" s="1278"/>
      <c r="E34" s="1278"/>
      <c r="F34" s="1278"/>
      <c r="G34" s="1278"/>
      <c r="H34" s="1278"/>
      <c r="I34" s="1278"/>
      <c r="J34" s="1278"/>
      <c r="K34" s="1278"/>
      <c r="L34" s="1278"/>
      <c r="M34" s="1278"/>
      <c r="N34" s="1278"/>
      <c r="O34" s="1278"/>
      <c r="P34" s="1279"/>
      <c r="Q34" s="1071"/>
      <c r="R34" s="1088"/>
    </row>
    <row r="35" spans="1:18" s="1059" customFormat="1" ht="15">
      <c r="A35" s="1050" t="s">
        <v>521</v>
      </c>
      <c r="B35" s="1051" t="s">
        <v>39</v>
      </c>
      <c r="C35" s="1115">
        <v>3</v>
      </c>
      <c r="D35" s="1115">
        <v>3</v>
      </c>
      <c r="E35" s="1115">
        <v>3</v>
      </c>
      <c r="F35" s="1115">
        <v>3</v>
      </c>
      <c r="G35" s="1115">
        <v>3</v>
      </c>
      <c r="H35" s="1115">
        <v>3</v>
      </c>
      <c r="I35" s="1115">
        <v>3</v>
      </c>
      <c r="J35" s="1115">
        <v>3</v>
      </c>
      <c r="K35" s="1115">
        <v>3</v>
      </c>
      <c r="L35" s="1115">
        <v>3</v>
      </c>
      <c r="M35" s="1115">
        <v>3</v>
      </c>
      <c r="N35" s="1115">
        <v>3</v>
      </c>
      <c r="O35" s="1115">
        <v>3</v>
      </c>
      <c r="P35" s="1119">
        <v>3</v>
      </c>
      <c r="Q35" s="1118"/>
      <c r="R35" s="1088"/>
    </row>
    <row r="36" spans="1:18" s="1059" customFormat="1" ht="15">
      <c r="A36" s="1050" t="s">
        <v>41</v>
      </c>
      <c r="B36" s="1051" t="s">
        <v>39</v>
      </c>
      <c r="C36" s="1115">
        <v>1</v>
      </c>
      <c r="D36" s="1115">
        <v>1</v>
      </c>
      <c r="E36" s="1115">
        <v>1</v>
      </c>
      <c r="F36" s="1115">
        <v>1</v>
      </c>
      <c r="G36" s="1115">
        <v>1</v>
      </c>
      <c r="H36" s="1115">
        <v>1</v>
      </c>
      <c r="I36" s="1115">
        <v>1</v>
      </c>
      <c r="J36" s="1115">
        <v>1</v>
      </c>
      <c r="K36" s="1115">
        <v>1</v>
      </c>
      <c r="L36" s="1115">
        <v>1</v>
      </c>
      <c r="M36" s="1115">
        <v>1</v>
      </c>
      <c r="N36" s="1115">
        <v>1</v>
      </c>
      <c r="O36" s="1115">
        <v>1</v>
      </c>
      <c r="P36" s="1119">
        <v>1</v>
      </c>
      <c r="Q36" s="1118"/>
      <c r="R36" s="1088"/>
    </row>
    <row r="37" spans="1:18" s="1059" customFormat="1" ht="15">
      <c r="A37" s="1276" t="s">
        <v>182</v>
      </c>
      <c r="B37" s="1278"/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  <c r="P37" s="1279"/>
      <c r="Q37" s="1072"/>
      <c r="R37" s="1088"/>
    </row>
    <row r="38" spans="1:18" s="1059" customFormat="1" ht="15">
      <c r="A38" s="1050" t="s">
        <v>18</v>
      </c>
      <c r="B38" s="1228" t="s">
        <v>23</v>
      </c>
      <c r="C38" s="1261">
        <f>2.06+7.989</f>
        <v>10.049</v>
      </c>
      <c r="D38" s="1262">
        <v>12.94</v>
      </c>
      <c r="E38" s="1176">
        <f>6.1+10.5+3.3</f>
        <v>19.900000000000002</v>
      </c>
      <c r="F38" s="1176">
        <f>8.8+2.77+0.263+9</f>
        <v>20.833</v>
      </c>
      <c r="G38" s="1176">
        <f>1.2+8.1+3.5+7.8</f>
        <v>20.599999999999998</v>
      </c>
      <c r="H38" s="1176">
        <v>19.43</v>
      </c>
      <c r="I38" s="1176">
        <v>20.06</v>
      </c>
      <c r="J38" s="1176">
        <v>24.61</v>
      </c>
      <c r="K38" s="1176">
        <v>27.5</v>
      </c>
      <c r="L38" s="1263">
        <f>L41+L42</f>
        <v>27.1</v>
      </c>
      <c r="M38" s="1263">
        <f>M41+M42</f>
        <v>29.7</v>
      </c>
      <c r="N38" s="1263">
        <f>N41+N42</f>
        <v>32.7</v>
      </c>
      <c r="O38" s="1263">
        <f>O41+O42</f>
        <v>35.7</v>
      </c>
      <c r="P38" s="1263">
        <f>P41+P42</f>
        <v>38.9</v>
      </c>
      <c r="Q38" s="1072"/>
      <c r="R38" s="1088"/>
    </row>
    <row r="39" spans="1:18" s="1059" customFormat="1" ht="15">
      <c r="A39" s="1291" t="s">
        <v>20</v>
      </c>
      <c r="B39" s="1292"/>
      <c r="C39" s="1264"/>
      <c r="D39" s="1265">
        <f aca="true" t="shared" si="10" ref="D39:J39">D38/C38*100</f>
        <v>128.76903174445218</v>
      </c>
      <c r="E39" s="1082">
        <f t="shared" si="10"/>
        <v>153.78670788253478</v>
      </c>
      <c r="F39" s="1082">
        <f t="shared" si="10"/>
        <v>104.68844221105526</v>
      </c>
      <c r="G39" s="1082">
        <f t="shared" si="10"/>
        <v>98.88158210531368</v>
      </c>
      <c r="H39" s="1082">
        <f t="shared" si="10"/>
        <v>94.32038834951457</v>
      </c>
      <c r="I39" s="1082">
        <f t="shared" si="10"/>
        <v>103.24240864642304</v>
      </c>
      <c r="J39" s="1083">
        <f t="shared" si="10"/>
        <v>122.68195413758724</v>
      </c>
      <c r="K39" s="1095">
        <f>SUM((K38/J38)*100)</f>
        <v>111.74319382364892</v>
      </c>
      <c r="L39" s="1095">
        <f>SUM((L38/K38)*100)</f>
        <v>98.54545454545455</v>
      </c>
      <c r="M39" s="1095">
        <f>SUM((M38/L38)*100)</f>
        <v>109.59409594095939</v>
      </c>
      <c r="N39" s="1095">
        <f>SUM((N38/M38)*100)</f>
        <v>110.10101010101012</v>
      </c>
      <c r="O39" s="1083">
        <f>O38/N38*100</f>
        <v>109.1743119266055</v>
      </c>
      <c r="P39" s="1084">
        <f>P38/O38*100</f>
        <v>108.96358543417367</v>
      </c>
      <c r="Q39" s="1072"/>
      <c r="R39" s="1088"/>
    </row>
    <row r="40" spans="1:18" s="1059" customFormat="1" ht="15">
      <c r="A40" s="1276" t="s">
        <v>32</v>
      </c>
      <c r="B40" s="1277"/>
      <c r="C40" s="1277"/>
      <c r="D40" s="1277"/>
      <c r="E40" s="1277"/>
      <c r="F40" s="1277"/>
      <c r="G40" s="1277"/>
      <c r="H40" s="1277"/>
      <c r="I40" s="1277"/>
      <c r="J40" s="1277"/>
      <c r="K40" s="1277"/>
      <c r="L40" s="1277"/>
      <c r="M40" s="1277"/>
      <c r="N40" s="1293"/>
      <c r="O40" s="1293"/>
      <c r="P40" s="1279"/>
      <c r="Q40" s="1072"/>
      <c r="R40" s="1088"/>
    </row>
    <row r="41" spans="1:18" s="1059" customFormat="1" ht="15">
      <c r="A41" s="1050" t="s">
        <v>508</v>
      </c>
      <c r="B41" s="1051" t="s">
        <v>98</v>
      </c>
      <c r="C41" s="1264"/>
      <c r="D41" s="1265"/>
      <c r="E41" s="1082"/>
      <c r="F41" s="1082"/>
      <c r="G41" s="1082"/>
      <c r="H41" s="1082"/>
      <c r="I41" s="1082"/>
      <c r="J41" s="1083"/>
      <c r="K41" s="1095"/>
      <c r="L41" s="1266">
        <v>17.8</v>
      </c>
      <c r="M41" s="1266">
        <v>20</v>
      </c>
      <c r="N41" s="1266">
        <v>22.000000000000004</v>
      </c>
      <c r="O41" s="1267">
        <v>24.000000000000004</v>
      </c>
      <c r="P41" s="1268">
        <v>26.2</v>
      </c>
      <c r="Q41" s="1072"/>
      <c r="R41" s="1088"/>
    </row>
    <row r="42" spans="1:18" s="1059" customFormat="1" ht="15">
      <c r="A42" s="1050" t="s">
        <v>509</v>
      </c>
      <c r="B42" s="1051" t="s">
        <v>98</v>
      </c>
      <c r="C42" s="1264"/>
      <c r="D42" s="1265"/>
      <c r="E42" s="1082"/>
      <c r="F42" s="1082"/>
      <c r="G42" s="1082"/>
      <c r="H42" s="1082"/>
      <c r="I42" s="1082"/>
      <c r="J42" s="1083"/>
      <c r="K42" s="1095"/>
      <c r="L42" s="1176">
        <v>9.3</v>
      </c>
      <c r="M42" s="1176">
        <v>9.7</v>
      </c>
      <c r="N42" s="1176">
        <v>10.7</v>
      </c>
      <c r="O42" s="1176">
        <v>11.7</v>
      </c>
      <c r="P42" s="1269">
        <v>12.7</v>
      </c>
      <c r="Q42" s="1072"/>
      <c r="R42" s="1088"/>
    </row>
    <row r="43" spans="1:18" s="1043" customFormat="1" ht="15.75" customHeight="1">
      <c r="A43" s="1273" t="s">
        <v>524</v>
      </c>
      <c r="B43" s="1274"/>
      <c r="C43" s="1274"/>
      <c r="D43" s="1274"/>
      <c r="E43" s="1274"/>
      <c r="F43" s="1274"/>
      <c r="G43" s="1274"/>
      <c r="H43" s="1274"/>
      <c r="I43" s="1274"/>
      <c r="J43" s="1274"/>
      <c r="K43" s="1274"/>
      <c r="L43" s="1274"/>
      <c r="M43" s="1274"/>
      <c r="N43" s="1274"/>
      <c r="O43" s="1274"/>
      <c r="P43" s="1275"/>
      <c r="Q43" s="425"/>
      <c r="R43" s="426"/>
    </row>
    <row r="44" spans="1:18" s="1059" customFormat="1" ht="31.5" customHeight="1">
      <c r="A44" s="1050" t="s">
        <v>533</v>
      </c>
      <c r="B44" s="1051" t="s">
        <v>46</v>
      </c>
      <c r="C44" s="1115">
        <v>3.17</v>
      </c>
      <c r="D44" s="1115">
        <v>3.17</v>
      </c>
      <c r="E44" s="1115">
        <v>3.17</v>
      </c>
      <c r="F44" s="1115">
        <v>3.17</v>
      </c>
      <c r="G44" s="1115">
        <v>3.17</v>
      </c>
      <c r="H44" s="1116">
        <v>3.17</v>
      </c>
      <c r="I44" s="1116">
        <v>3.17</v>
      </c>
      <c r="J44" s="1116">
        <v>3.17</v>
      </c>
      <c r="K44" s="1116">
        <v>3.17</v>
      </c>
      <c r="L44" s="1116">
        <v>3.17</v>
      </c>
      <c r="M44" s="1116">
        <v>3.17</v>
      </c>
      <c r="N44" s="1116">
        <v>3.17</v>
      </c>
      <c r="O44" s="1116">
        <v>3.17</v>
      </c>
      <c r="P44" s="1117">
        <v>3.17</v>
      </c>
      <c r="Q44" s="1118"/>
      <c r="R44" s="1088"/>
    </row>
    <row r="45" spans="1:18" s="1043" customFormat="1" ht="15.75" customHeight="1">
      <c r="A45" s="1273" t="s">
        <v>525</v>
      </c>
      <c r="B45" s="1274"/>
      <c r="C45" s="1274"/>
      <c r="D45" s="1274"/>
      <c r="E45" s="1274"/>
      <c r="F45" s="1274"/>
      <c r="G45" s="1274"/>
      <c r="H45" s="1274"/>
      <c r="I45" s="1274"/>
      <c r="J45" s="1274"/>
      <c r="K45" s="1274"/>
      <c r="L45" s="1274"/>
      <c r="M45" s="1274"/>
      <c r="N45" s="1274"/>
      <c r="O45" s="1274"/>
      <c r="P45" s="1275"/>
      <c r="Q45" s="425"/>
      <c r="R45" s="426"/>
    </row>
    <row r="46" spans="1:18" s="1059" customFormat="1" ht="31.5" customHeight="1">
      <c r="A46" s="1069" t="s">
        <v>498</v>
      </c>
      <c r="B46" s="1228" t="s">
        <v>39</v>
      </c>
      <c r="C46" s="1242">
        <v>17</v>
      </c>
      <c r="D46" s="1243">
        <v>17</v>
      </c>
      <c r="E46" s="1242">
        <f aca="true" t="shared" si="11" ref="E46:K46">E48+E52+E53+E54</f>
        <v>25</v>
      </c>
      <c r="F46" s="1242">
        <f t="shared" si="11"/>
        <v>28</v>
      </c>
      <c r="G46" s="1242">
        <f t="shared" si="11"/>
        <v>35</v>
      </c>
      <c r="H46" s="1242">
        <f t="shared" si="11"/>
        <v>35</v>
      </c>
      <c r="I46" s="1237">
        <f t="shared" si="11"/>
        <v>39</v>
      </c>
      <c r="J46" s="1237">
        <f t="shared" si="11"/>
        <v>42</v>
      </c>
      <c r="K46" s="1237">
        <f t="shared" si="11"/>
        <v>40</v>
      </c>
      <c r="L46" s="1237">
        <v>102</v>
      </c>
      <c r="M46" s="1237">
        <v>104</v>
      </c>
      <c r="N46" s="1237">
        <v>104</v>
      </c>
      <c r="O46" s="1237">
        <v>106</v>
      </c>
      <c r="P46" s="1238">
        <v>106</v>
      </c>
      <c r="Q46" s="1124"/>
      <c r="R46" s="1088"/>
    </row>
    <row r="47" spans="1:18" s="1059" customFormat="1" ht="15">
      <c r="A47" s="1290" t="s">
        <v>505</v>
      </c>
      <c r="B47" s="1278"/>
      <c r="C47" s="1278"/>
      <c r="D47" s="1278"/>
      <c r="E47" s="1278"/>
      <c r="F47" s="1278"/>
      <c r="G47" s="1278"/>
      <c r="H47" s="1278"/>
      <c r="I47" s="1278"/>
      <c r="J47" s="1278"/>
      <c r="K47" s="1278"/>
      <c r="L47" s="1278"/>
      <c r="M47" s="1278"/>
      <c r="N47" s="1278"/>
      <c r="O47" s="1278"/>
      <c r="P47" s="1279"/>
      <c r="Q47" s="1071"/>
      <c r="R47" s="1088"/>
    </row>
    <row r="48" spans="1:18" s="1059" customFormat="1" ht="15">
      <c r="A48" s="1050" t="s">
        <v>499</v>
      </c>
      <c r="B48" s="1051" t="s">
        <v>87</v>
      </c>
      <c r="C48" s="1244">
        <v>4</v>
      </c>
      <c r="D48" s="1125">
        <v>3</v>
      </c>
      <c r="E48" s="1125">
        <v>4</v>
      </c>
      <c r="F48" s="1125">
        <v>4</v>
      </c>
      <c r="G48" s="1125">
        <v>4</v>
      </c>
      <c r="H48" s="1125">
        <v>4</v>
      </c>
      <c r="I48" s="1125">
        <v>4</v>
      </c>
      <c r="J48" s="1125">
        <v>4</v>
      </c>
      <c r="K48" s="1125"/>
      <c r="L48" s="1125">
        <v>32.2</v>
      </c>
      <c r="M48" s="1125">
        <v>32.7</v>
      </c>
      <c r="N48" s="1125">
        <v>32.7</v>
      </c>
      <c r="O48" s="1125">
        <v>33</v>
      </c>
      <c r="P48" s="1126">
        <v>33</v>
      </c>
      <c r="Q48" s="1118"/>
      <c r="R48" s="1088"/>
    </row>
    <row r="49" spans="1:18" s="1059" customFormat="1" ht="15">
      <c r="A49" s="1050" t="s">
        <v>500</v>
      </c>
      <c r="B49" s="1051" t="s">
        <v>87</v>
      </c>
      <c r="C49" s="1244"/>
      <c r="D49" s="1125"/>
      <c r="E49" s="1125"/>
      <c r="F49" s="1125"/>
      <c r="G49" s="1125"/>
      <c r="H49" s="1125"/>
      <c r="I49" s="1125"/>
      <c r="J49" s="1125"/>
      <c r="K49" s="1125"/>
      <c r="L49" s="1125">
        <v>24</v>
      </c>
      <c r="M49" s="1125">
        <v>24</v>
      </c>
      <c r="N49" s="1125">
        <v>24</v>
      </c>
      <c r="O49" s="1125">
        <v>24</v>
      </c>
      <c r="P49" s="1126">
        <v>24</v>
      </c>
      <c r="Q49" s="1118"/>
      <c r="R49" s="1088"/>
    </row>
    <row r="50" spans="1:18" s="1059" customFormat="1" ht="15">
      <c r="A50" s="1050" t="s">
        <v>64</v>
      </c>
      <c r="B50" s="1051" t="s">
        <v>87</v>
      </c>
      <c r="C50" s="1244"/>
      <c r="D50" s="1125"/>
      <c r="E50" s="1125"/>
      <c r="F50" s="1125"/>
      <c r="G50" s="1125"/>
      <c r="H50" s="1125"/>
      <c r="I50" s="1125"/>
      <c r="J50" s="1125"/>
      <c r="K50" s="1125"/>
      <c r="L50" s="1125">
        <v>13</v>
      </c>
      <c r="M50" s="1125">
        <v>12.5</v>
      </c>
      <c r="N50" s="1125">
        <v>12.5</v>
      </c>
      <c r="O50" s="1125">
        <v>12.5</v>
      </c>
      <c r="P50" s="1126">
        <v>12.5</v>
      </c>
      <c r="Q50" s="1118"/>
      <c r="R50" s="1088"/>
    </row>
    <row r="51" spans="1:18" s="1059" customFormat="1" ht="31.5" customHeight="1">
      <c r="A51" s="1050" t="s">
        <v>501</v>
      </c>
      <c r="B51" s="1051" t="s">
        <v>87</v>
      </c>
      <c r="C51" s="1244"/>
      <c r="D51" s="1125"/>
      <c r="E51" s="1125"/>
      <c r="F51" s="1125"/>
      <c r="G51" s="1125"/>
      <c r="H51" s="1125"/>
      <c r="I51" s="1125"/>
      <c r="J51" s="1125"/>
      <c r="K51" s="1125"/>
      <c r="L51" s="1125">
        <v>8.7</v>
      </c>
      <c r="M51" s="1125">
        <v>8.7</v>
      </c>
      <c r="N51" s="1125">
        <v>8.7</v>
      </c>
      <c r="O51" s="1125">
        <v>8.7</v>
      </c>
      <c r="P51" s="1126">
        <v>8.7</v>
      </c>
      <c r="Q51" s="1118"/>
      <c r="R51" s="1088"/>
    </row>
    <row r="52" spans="1:18" s="1059" customFormat="1" ht="15">
      <c r="A52" s="1050" t="s">
        <v>502</v>
      </c>
      <c r="B52" s="1051" t="s">
        <v>87</v>
      </c>
      <c r="C52" s="1244">
        <v>12</v>
      </c>
      <c r="D52" s="1125">
        <v>13</v>
      </c>
      <c r="E52" s="1125">
        <v>17</v>
      </c>
      <c r="F52" s="1125">
        <v>22</v>
      </c>
      <c r="G52" s="1125">
        <v>29</v>
      </c>
      <c r="H52" s="1125">
        <v>29</v>
      </c>
      <c r="I52" s="1125">
        <v>30</v>
      </c>
      <c r="J52" s="1125">
        <v>30</v>
      </c>
      <c r="K52" s="1125">
        <v>31</v>
      </c>
      <c r="L52" s="1125">
        <v>6.7</v>
      </c>
      <c r="M52" s="1125">
        <v>6.7</v>
      </c>
      <c r="N52" s="1125">
        <v>6.7</v>
      </c>
      <c r="O52" s="1125">
        <v>6.7</v>
      </c>
      <c r="P52" s="1126">
        <v>6.7</v>
      </c>
      <c r="Q52" s="1118"/>
      <c r="R52" s="1088"/>
    </row>
    <row r="53" spans="1:18" s="1059" customFormat="1" ht="15">
      <c r="A53" s="1050" t="s">
        <v>503</v>
      </c>
      <c r="B53" s="1051" t="s">
        <v>87</v>
      </c>
      <c r="C53" s="1127">
        <v>0</v>
      </c>
      <c r="D53" s="1127">
        <v>0</v>
      </c>
      <c r="E53" s="1127">
        <v>3</v>
      </c>
      <c r="F53" s="1127">
        <v>2</v>
      </c>
      <c r="G53" s="1127">
        <v>2</v>
      </c>
      <c r="H53" s="1127">
        <v>2</v>
      </c>
      <c r="I53" s="1127">
        <v>5</v>
      </c>
      <c r="J53" s="1127">
        <v>8</v>
      </c>
      <c r="K53" s="1127">
        <v>9</v>
      </c>
      <c r="L53" s="1127">
        <v>4.8</v>
      </c>
      <c r="M53" s="1128">
        <v>4.8</v>
      </c>
      <c r="N53" s="1128">
        <v>4.8</v>
      </c>
      <c r="O53" s="1128">
        <v>4.8</v>
      </c>
      <c r="P53" s="1129">
        <v>4.8</v>
      </c>
      <c r="Q53" s="1130"/>
      <c r="R53" s="1088"/>
    </row>
    <row r="54" spans="1:18" s="1059" customFormat="1" ht="15">
      <c r="A54" s="1241" t="s">
        <v>504</v>
      </c>
      <c r="B54" s="1131" t="s">
        <v>87</v>
      </c>
      <c r="C54" s="1245">
        <v>1</v>
      </c>
      <c r="D54" s="1132">
        <v>1</v>
      </c>
      <c r="E54" s="1132">
        <v>1</v>
      </c>
      <c r="F54" s="1132"/>
      <c r="G54" s="1132"/>
      <c r="H54" s="1132">
        <v>0</v>
      </c>
      <c r="I54" s="1132"/>
      <c r="J54" s="1132"/>
      <c r="K54" s="1132"/>
      <c r="L54" s="1132">
        <v>10.6</v>
      </c>
      <c r="M54" s="1132">
        <v>10.6</v>
      </c>
      <c r="N54" s="1132">
        <v>10.6</v>
      </c>
      <c r="O54" s="1132">
        <v>10.3</v>
      </c>
      <c r="P54" s="1133">
        <v>10.3</v>
      </c>
      <c r="Q54" s="1118"/>
      <c r="R54" s="1088"/>
    </row>
    <row r="55" spans="1:18" s="1043" customFormat="1" ht="15.75" customHeight="1">
      <c r="A55" s="1273" t="s">
        <v>526</v>
      </c>
      <c r="B55" s="1274"/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5"/>
      <c r="Q55" s="425"/>
      <c r="R55" s="426"/>
    </row>
    <row r="56" spans="1:18" s="1059" customFormat="1" ht="15">
      <c r="A56" s="1050" t="s">
        <v>481</v>
      </c>
      <c r="B56" s="1051" t="s">
        <v>23</v>
      </c>
      <c r="C56" s="1115"/>
      <c r="D56" s="1115"/>
      <c r="E56" s="1115"/>
      <c r="F56" s="1115"/>
      <c r="G56" s="1115"/>
      <c r="H56" s="1116"/>
      <c r="I56" s="1116"/>
      <c r="J56" s="1116"/>
      <c r="K56" s="1116"/>
      <c r="L56" s="1116">
        <v>212.7</v>
      </c>
      <c r="M56" s="1116">
        <v>335</v>
      </c>
      <c r="N56" s="1116">
        <v>180</v>
      </c>
      <c r="O56" s="1116">
        <v>200</v>
      </c>
      <c r="P56" s="1117">
        <v>200</v>
      </c>
      <c r="Q56" s="1118"/>
      <c r="R56" s="1088"/>
    </row>
    <row r="57" spans="1:18" s="1059" customFormat="1" ht="15">
      <c r="A57" s="1050" t="s">
        <v>534</v>
      </c>
      <c r="B57" s="1051" t="s">
        <v>23</v>
      </c>
      <c r="C57" s="1115"/>
      <c r="D57" s="1115"/>
      <c r="E57" s="1115"/>
      <c r="F57" s="1115"/>
      <c r="G57" s="1115"/>
      <c r="H57" s="1116"/>
      <c r="I57" s="1116"/>
      <c r="J57" s="1116"/>
      <c r="K57" s="1116"/>
      <c r="L57" s="1116">
        <v>60.8</v>
      </c>
      <c r="M57" s="1116">
        <v>170.6</v>
      </c>
      <c r="N57" s="1116">
        <v>6.9</v>
      </c>
      <c r="O57" s="1116">
        <v>6.9</v>
      </c>
      <c r="P57" s="1117">
        <v>6.9</v>
      </c>
      <c r="Q57" s="1118"/>
      <c r="R57" s="1088"/>
    </row>
    <row r="58" spans="1:18" s="1059" customFormat="1" ht="30">
      <c r="A58" s="1050" t="s">
        <v>389</v>
      </c>
      <c r="B58" s="1051" t="s">
        <v>23</v>
      </c>
      <c r="C58" s="1070"/>
      <c r="D58" s="1070"/>
      <c r="E58" s="1070"/>
      <c r="F58" s="1070"/>
      <c r="G58" s="1070"/>
      <c r="H58" s="1070"/>
      <c r="I58" s="1070"/>
      <c r="J58" s="1070"/>
      <c r="K58" s="1134">
        <v>0</v>
      </c>
      <c r="L58" s="1135">
        <f>6.3+2</f>
        <v>8.3</v>
      </c>
      <c r="M58" s="1135">
        <v>124.1</v>
      </c>
      <c r="N58" s="1134">
        <v>7.4</v>
      </c>
      <c r="O58" s="1134">
        <v>1.8</v>
      </c>
      <c r="P58" s="1136">
        <v>2.8</v>
      </c>
      <c r="Q58" s="1137"/>
      <c r="R58" s="1138"/>
    </row>
    <row r="59" spans="1:18" s="1059" customFormat="1" ht="13.5" customHeight="1">
      <c r="A59" s="1276" t="s">
        <v>59</v>
      </c>
      <c r="B59" s="1278"/>
      <c r="C59" s="1278"/>
      <c r="D59" s="1278"/>
      <c r="E59" s="1278"/>
      <c r="F59" s="1278"/>
      <c r="G59" s="1278"/>
      <c r="H59" s="1278"/>
      <c r="I59" s="1278"/>
      <c r="J59" s="1278"/>
      <c r="K59" s="1278"/>
      <c r="L59" s="1278"/>
      <c r="M59" s="1278"/>
      <c r="N59" s="1278"/>
      <c r="O59" s="1278"/>
      <c r="P59" s="1279"/>
      <c r="Q59" s="1071"/>
      <c r="R59" s="1088"/>
    </row>
    <row r="60" spans="1:18" s="1059" customFormat="1" ht="15">
      <c r="A60" s="1074" t="s">
        <v>60</v>
      </c>
      <c r="B60" s="1051" t="s">
        <v>23</v>
      </c>
      <c r="C60" s="1139">
        <v>62.37</v>
      </c>
      <c r="D60" s="1139">
        <v>72.38</v>
      </c>
      <c r="E60" s="1115">
        <v>86.5</v>
      </c>
      <c r="F60" s="1115">
        <v>41.2</v>
      </c>
      <c r="G60" s="1115">
        <v>71.9</v>
      </c>
      <c r="H60" s="1115">
        <v>81.4</v>
      </c>
      <c r="I60" s="1115">
        <f>54.3</f>
        <v>54.3</v>
      </c>
      <c r="J60" s="1115">
        <v>65.2</v>
      </c>
      <c r="K60" s="1115">
        <v>97.8</v>
      </c>
      <c r="L60" s="1115">
        <v>88.34</v>
      </c>
      <c r="M60" s="1115">
        <f>94.4-23.3</f>
        <v>71.10000000000001</v>
      </c>
      <c r="N60" s="1115">
        <v>88</v>
      </c>
      <c r="O60" s="1140">
        <v>94.4</v>
      </c>
      <c r="P60" s="1141">
        <v>94.4</v>
      </c>
      <c r="Q60" s="1142"/>
      <c r="R60" s="1088"/>
    </row>
    <row r="61" spans="1:18" s="1043" customFormat="1" ht="15.75" customHeight="1">
      <c r="A61" s="1273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048"/>
      <c r="Q61" s="427"/>
      <c r="R61" s="426"/>
    </row>
    <row r="62" spans="1:18" s="1059" customFormat="1" ht="15">
      <c r="A62" s="1069" t="s">
        <v>490</v>
      </c>
      <c r="B62" s="1051" t="s">
        <v>52</v>
      </c>
      <c r="C62" s="1115" t="e">
        <f>C63+C64+C65+C68+C69+C70+C71+#REF!+#REF!+#REF!+#REF!+#REF!+#REF!</f>
        <v>#REF!</v>
      </c>
      <c r="D62" s="1115" t="e">
        <f>D63+D64+D65+D68+D69+D70+D71+#REF!+#REF!+#REF!+#REF!+#REF!+#REF!</f>
        <v>#REF!</v>
      </c>
      <c r="E62" s="1115" t="e">
        <f>E63+E64+E65+E68+E69+E70+E71+#REF!+#REF!+#REF!+#REF!+#REF!+#REF!</f>
        <v>#REF!</v>
      </c>
      <c r="F62" s="1115" t="e">
        <f>F63+F64+F65+F68+F69+F70+F71+#REF!+#REF!+#REF!+#REF!+#REF!+#REF!</f>
        <v>#REF!</v>
      </c>
      <c r="G62" s="1115" t="e">
        <f>G63+G64+G65+G68+G69+G70+G71+#REF!+#REF!+#REF!+#REF!+#REF!+#REF!</f>
        <v>#REF!</v>
      </c>
      <c r="H62" s="1115" t="e">
        <f>H63+H64+H65+H68+H69+H70+H71+#REF!+#REF!+#REF!+#REF!+#REF!+#REF!</f>
        <v>#REF!</v>
      </c>
      <c r="I62" s="1115" t="e">
        <f>I63+I64+I65+I68+I69+I70+I71+#REF!+#REF!+#REF!+#REF!+#REF!+#REF!</f>
        <v>#REF!</v>
      </c>
      <c r="J62" s="1115" t="e">
        <f>J63+J64+J65+J68+J69+J70+J71+#REF!+#REF!+#REF!+#REF!+#REF!+#REF!</f>
        <v>#REF!</v>
      </c>
      <c r="K62" s="1115" t="e">
        <f>K63+K64+K65+K68+K69+K70+K71+#REF!+#REF!+#REF!+#REF!+#REF!+#REF!</f>
        <v>#REF!</v>
      </c>
      <c r="L62" s="1115">
        <v>2509</v>
      </c>
      <c r="M62" s="1115">
        <v>2560</v>
      </c>
      <c r="N62" s="1115">
        <v>2600</v>
      </c>
      <c r="O62" s="1115">
        <v>2600</v>
      </c>
      <c r="P62" s="1119">
        <v>2600</v>
      </c>
      <c r="Q62" s="1118"/>
      <c r="R62" s="1088"/>
    </row>
    <row r="63" spans="1:18" s="1059" customFormat="1" ht="15">
      <c r="A63" s="1050" t="s">
        <v>483</v>
      </c>
      <c r="B63" s="1051" t="s">
        <v>52</v>
      </c>
      <c r="C63" s="1115">
        <f>208+130</f>
        <v>338</v>
      </c>
      <c r="D63" s="1115">
        <v>320</v>
      </c>
      <c r="E63" s="1115">
        <f>127+117</f>
        <v>244</v>
      </c>
      <c r="F63" s="1115">
        <f>138+118</f>
        <v>256</v>
      </c>
      <c r="G63" s="1115">
        <f>161+126</f>
        <v>287</v>
      </c>
      <c r="H63" s="1115">
        <v>290</v>
      </c>
      <c r="I63" s="1115">
        <v>255</v>
      </c>
      <c r="J63" s="1115">
        <v>244</v>
      </c>
      <c r="K63" s="1115">
        <v>285</v>
      </c>
      <c r="L63" s="1115">
        <v>268</v>
      </c>
      <c r="M63" s="1115">
        <v>270</v>
      </c>
      <c r="N63" s="1115">
        <v>280</v>
      </c>
      <c r="O63" s="1115">
        <v>280</v>
      </c>
      <c r="P63" s="1119">
        <v>280</v>
      </c>
      <c r="Q63" s="1118"/>
      <c r="R63" s="1088"/>
    </row>
    <row r="64" spans="1:18" s="1059" customFormat="1" ht="15">
      <c r="A64" s="1050" t="s">
        <v>484</v>
      </c>
      <c r="B64" s="1051" t="s">
        <v>52</v>
      </c>
      <c r="C64" s="1115">
        <f>51+85</f>
        <v>136</v>
      </c>
      <c r="D64" s="1115">
        <v>104</v>
      </c>
      <c r="E64" s="1115">
        <v>70</v>
      </c>
      <c r="F64" s="1115">
        <f>43+30</f>
        <v>73</v>
      </c>
      <c r="G64" s="1115">
        <f>45+21</f>
        <v>66</v>
      </c>
      <c r="H64" s="1115">
        <v>66</v>
      </c>
      <c r="I64" s="1115">
        <v>77</v>
      </c>
      <c r="J64" s="1115">
        <v>107</v>
      </c>
      <c r="K64" s="1115">
        <v>143</v>
      </c>
      <c r="L64" s="1115">
        <v>587</v>
      </c>
      <c r="M64" s="1115">
        <v>600</v>
      </c>
      <c r="N64" s="1115">
        <v>610</v>
      </c>
      <c r="O64" s="1115">
        <v>610</v>
      </c>
      <c r="P64" s="1119">
        <v>610</v>
      </c>
      <c r="Q64" s="1118"/>
      <c r="R64" s="1088"/>
    </row>
    <row r="65" spans="1:18" s="1059" customFormat="1" ht="15">
      <c r="A65" s="1050" t="s">
        <v>485</v>
      </c>
      <c r="B65" s="1051" t="s">
        <v>52</v>
      </c>
      <c r="C65" s="1115">
        <f>SUM(C66+C67)</f>
        <v>17</v>
      </c>
      <c r="D65" s="1115">
        <f>SUM(D66+D67)</f>
        <v>16</v>
      </c>
      <c r="E65" s="1115">
        <f>SUM(E66+E67)</f>
        <v>11</v>
      </c>
      <c r="F65" s="1115">
        <f>SUM(F66+F67)</f>
        <v>12</v>
      </c>
      <c r="G65" s="1115">
        <f>SUM(G66+G67)</f>
        <v>13</v>
      </c>
      <c r="H65" s="1115">
        <f>H66+H67</f>
        <v>12</v>
      </c>
      <c r="I65" s="1115">
        <f>I66+I67</f>
        <v>10</v>
      </c>
      <c r="J65" s="1115">
        <f>J66+J67</f>
        <v>9</v>
      </c>
      <c r="K65" s="1115">
        <f>K66+K67</f>
        <v>9</v>
      </c>
      <c r="L65" s="1115">
        <v>140</v>
      </c>
      <c r="M65" s="1115">
        <v>160</v>
      </c>
      <c r="N65" s="1115">
        <v>170</v>
      </c>
      <c r="O65" s="1115">
        <v>170</v>
      </c>
      <c r="P65" s="1119">
        <v>170</v>
      </c>
      <c r="Q65" s="1118"/>
      <c r="R65" s="1088"/>
    </row>
    <row r="66" spans="1:18" s="1059" customFormat="1" ht="15">
      <c r="A66" s="1050" t="s">
        <v>486</v>
      </c>
      <c r="B66" s="1051" t="s">
        <v>52</v>
      </c>
      <c r="C66" s="1115">
        <v>10</v>
      </c>
      <c r="D66" s="1115">
        <v>10</v>
      </c>
      <c r="E66" s="1115">
        <v>6</v>
      </c>
      <c r="F66" s="1115">
        <v>6</v>
      </c>
      <c r="G66" s="1115">
        <v>7</v>
      </c>
      <c r="H66" s="1115">
        <v>6</v>
      </c>
      <c r="I66" s="1115">
        <v>5</v>
      </c>
      <c r="J66" s="1115">
        <v>5</v>
      </c>
      <c r="K66" s="1115">
        <v>5</v>
      </c>
      <c r="L66" s="1115">
        <v>11</v>
      </c>
      <c r="M66" s="1115">
        <v>12</v>
      </c>
      <c r="N66" s="1115">
        <v>15</v>
      </c>
      <c r="O66" s="1115">
        <v>15</v>
      </c>
      <c r="P66" s="1119">
        <v>15</v>
      </c>
      <c r="Q66" s="1118"/>
      <c r="R66" s="1088"/>
    </row>
    <row r="67" spans="1:18" s="1059" customFormat="1" ht="15">
      <c r="A67" s="1050" t="s">
        <v>487</v>
      </c>
      <c r="B67" s="1051" t="s">
        <v>52</v>
      </c>
      <c r="C67" s="1115">
        <v>7</v>
      </c>
      <c r="D67" s="1115">
        <v>6</v>
      </c>
      <c r="E67" s="1115">
        <v>5</v>
      </c>
      <c r="F67" s="1115">
        <v>6</v>
      </c>
      <c r="G67" s="1115">
        <v>6</v>
      </c>
      <c r="H67" s="1115">
        <v>6</v>
      </c>
      <c r="I67" s="1115">
        <v>5</v>
      </c>
      <c r="J67" s="1115">
        <v>4</v>
      </c>
      <c r="K67" s="1115">
        <v>4</v>
      </c>
      <c r="L67" s="1115">
        <v>251</v>
      </c>
      <c r="M67" s="1115">
        <v>250</v>
      </c>
      <c r="N67" s="1115">
        <v>260</v>
      </c>
      <c r="O67" s="1115">
        <v>260</v>
      </c>
      <c r="P67" s="1119">
        <v>260</v>
      </c>
      <c r="Q67" s="1118"/>
      <c r="R67" s="1088"/>
    </row>
    <row r="68" spans="1:18" s="1059" customFormat="1" ht="15">
      <c r="A68" s="1050" t="s">
        <v>68</v>
      </c>
      <c r="B68" s="1051" t="s">
        <v>52</v>
      </c>
      <c r="C68" s="1115">
        <f>162+309</f>
        <v>471</v>
      </c>
      <c r="D68" s="1115">
        <v>485</v>
      </c>
      <c r="E68" s="1115">
        <f>349+106</f>
        <v>455</v>
      </c>
      <c r="F68" s="1115">
        <f>352+104</f>
        <v>456</v>
      </c>
      <c r="G68" s="1115">
        <v>441</v>
      </c>
      <c r="H68" s="1115">
        <v>439</v>
      </c>
      <c r="I68" s="1115">
        <v>410</v>
      </c>
      <c r="J68" s="1115">
        <v>334</v>
      </c>
      <c r="K68" s="1115">
        <v>357</v>
      </c>
      <c r="L68" s="1115">
        <v>384</v>
      </c>
      <c r="M68" s="1115">
        <v>385</v>
      </c>
      <c r="N68" s="1115">
        <v>400</v>
      </c>
      <c r="O68" s="1115">
        <v>400</v>
      </c>
      <c r="P68" s="1119">
        <v>400</v>
      </c>
      <c r="Q68" s="1118"/>
      <c r="R68" s="1088"/>
    </row>
    <row r="69" spans="1:18" s="1059" customFormat="1" ht="15">
      <c r="A69" s="1050" t="s">
        <v>488</v>
      </c>
      <c r="B69" s="1051" t="s">
        <v>52</v>
      </c>
      <c r="C69" s="1115">
        <v>438</v>
      </c>
      <c r="D69" s="1115">
        <v>248</v>
      </c>
      <c r="E69" s="1115">
        <v>202</v>
      </c>
      <c r="F69" s="1115">
        <v>307</v>
      </c>
      <c r="G69" s="1115">
        <v>414</v>
      </c>
      <c r="H69" s="1115">
        <v>354</v>
      </c>
      <c r="I69" s="1115">
        <v>256</v>
      </c>
      <c r="J69" s="1115">
        <v>205</v>
      </c>
      <c r="K69" s="1115">
        <v>248</v>
      </c>
      <c r="L69" s="1115">
        <v>220</v>
      </c>
      <c r="M69" s="1115">
        <v>230</v>
      </c>
      <c r="N69" s="1115">
        <v>240</v>
      </c>
      <c r="O69" s="1115">
        <v>240</v>
      </c>
      <c r="P69" s="1119">
        <v>240</v>
      </c>
      <c r="Q69" s="1118"/>
      <c r="R69" s="1088"/>
    </row>
    <row r="70" spans="1:19" s="1059" customFormat="1" ht="15">
      <c r="A70" s="1050" t="s">
        <v>489</v>
      </c>
      <c r="B70" s="1051" t="s">
        <v>52</v>
      </c>
      <c r="C70" s="1115">
        <f>51+85</f>
        <v>136</v>
      </c>
      <c r="D70" s="1115">
        <v>104</v>
      </c>
      <c r="E70" s="1115">
        <v>70</v>
      </c>
      <c r="F70" s="1115">
        <f>43+30</f>
        <v>73</v>
      </c>
      <c r="G70" s="1115">
        <f>45+21</f>
        <v>66</v>
      </c>
      <c r="H70" s="1115">
        <v>66</v>
      </c>
      <c r="I70" s="1115">
        <v>77</v>
      </c>
      <c r="J70" s="1115">
        <v>107</v>
      </c>
      <c r="K70" s="1115">
        <v>143</v>
      </c>
      <c r="L70" s="1115">
        <v>52</v>
      </c>
      <c r="M70" s="1115">
        <v>55</v>
      </c>
      <c r="N70" s="1115">
        <v>60</v>
      </c>
      <c r="O70" s="1115">
        <v>60</v>
      </c>
      <c r="P70" s="1119">
        <v>60</v>
      </c>
      <c r="Q70" s="1118"/>
      <c r="R70" s="1088"/>
      <c r="S70" s="1088"/>
    </row>
    <row r="71" spans="1:18" s="1059" customFormat="1" ht="15">
      <c r="A71" s="1050" t="s">
        <v>64</v>
      </c>
      <c r="B71" s="1051" t="s">
        <v>52</v>
      </c>
      <c r="C71" s="1115">
        <f>1+7</f>
        <v>8</v>
      </c>
      <c r="D71" s="1115">
        <v>6</v>
      </c>
      <c r="E71" s="1115">
        <v>3</v>
      </c>
      <c r="F71" s="1115">
        <v>3</v>
      </c>
      <c r="G71" s="1115">
        <v>1</v>
      </c>
      <c r="H71" s="1115">
        <v>1</v>
      </c>
      <c r="I71" s="1115">
        <v>1</v>
      </c>
      <c r="J71" s="1115">
        <v>1</v>
      </c>
      <c r="K71" s="1115">
        <v>5</v>
      </c>
      <c r="L71" s="1115">
        <v>124</v>
      </c>
      <c r="M71" s="1115">
        <v>124</v>
      </c>
      <c r="N71" s="1115">
        <v>130</v>
      </c>
      <c r="O71" s="1115">
        <v>130</v>
      </c>
      <c r="P71" s="1119">
        <v>130</v>
      </c>
      <c r="Q71" s="1118"/>
      <c r="R71" s="1088"/>
    </row>
    <row r="72" spans="1:22" s="1043" customFormat="1" ht="15.75">
      <c r="A72" s="1273" t="s">
        <v>535</v>
      </c>
      <c r="B72" s="1287"/>
      <c r="C72" s="1288"/>
      <c r="D72" s="1288"/>
      <c r="E72" s="1288"/>
      <c r="F72" s="1288"/>
      <c r="G72" s="1288"/>
      <c r="H72" s="1288"/>
      <c r="I72" s="1288"/>
      <c r="J72" s="1288"/>
      <c r="K72" s="1288"/>
      <c r="L72" s="1288"/>
      <c r="M72" s="1288"/>
      <c r="N72" s="1288"/>
      <c r="O72" s="1288"/>
      <c r="P72" s="1289"/>
      <c r="Q72" s="425"/>
      <c r="R72" s="432">
        <f>M73-L73</f>
        <v>303.11900000000014</v>
      </c>
      <c r="S72" s="1046">
        <v>55581.3</v>
      </c>
      <c r="T72" s="1046">
        <f>S73/S72</f>
        <v>1.0897370158668473</v>
      </c>
      <c r="U72" s="1046"/>
      <c r="V72" s="1046"/>
    </row>
    <row r="73" spans="1:24" s="1059" customFormat="1" ht="15">
      <c r="A73" s="1143" t="s">
        <v>77</v>
      </c>
      <c r="B73" s="1051" t="s">
        <v>23</v>
      </c>
      <c r="C73" s="1101" t="e">
        <f aca="true" t="shared" si="12" ref="C73:P73">SUM(C75+C76+C78)</f>
        <v>#REF!</v>
      </c>
      <c r="D73" s="1101" t="e">
        <f t="shared" si="12"/>
        <v>#REF!</v>
      </c>
      <c r="E73" s="1101" t="e">
        <f>SUM(E75+E76+E78)</f>
        <v>#REF!</v>
      </c>
      <c r="F73" s="1101" t="e">
        <f>SUM(F75+F76+F78)</f>
        <v>#REF!</v>
      </c>
      <c r="G73" s="1101" t="e">
        <f t="shared" si="12"/>
        <v>#REF!</v>
      </c>
      <c r="H73" s="1145" t="e">
        <f t="shared" si="12"/>
        <v>#REF!</v>
      </c>
      <c r="I73" s="1145" t="e">
        <f t="shared" si="12"/>
        <v>#REF!</v>
      </c>
      <c r="J73" s="1145" t="e">
        <f t="shared" si="12"/>
        <v>#REF!</v>
      </c>
      <c r="K73" s="1145" t="e">
        <f t="shared" si="12"/>
        <v>#REF!</v>
      </c>
      <c r="L73" s="1145">
        <f t="shared" si="12"/>
        <v>3143.499</v>
      </c>
      <c r="M73" s="1145">
        <f t="shared" si="12"/>
        <v>3446.618</v>
      </c>
      <c r="N73" s="1145">
        <f t="shared" si="12"/>
        <v>3512.601</v>
      </c>
      <c r="O73" s="1145">
        <f t="shared" si="12"/>
        <v>3577.199</v>
      </c>
      <c r="P73" s="1146">
        <f t="shared" si="12"/>
        <v>3592.14</v>
      </c>
      <c r="Q73" s="1147"/>
      <c r="R73" s="1078">
        <f>M73*1000/12/R7</f>
        <v>60568.99339238015</v>
      </c>
      <c r="S73" s="1078">
        <v>60569</v>
      </c>
      <c r="T73" s="1148"/>
      <c r="U73" s="1148"/>
      <c r="V73" s="1068"/>
      <c r="X73" s="1081"/>
    </row>
    <row r="74" spans="1:22" s="1059" customFormat="1" ht="15">
      <c r="A74" s="1276" t="s">
        <v>78</v>
      </c>
      <c r="B74" s="1278"/>
      <c r="C74" s="1278"/>
      <c r="D74" s="1278"/>
      <c r="E74" s="1278"/>
      <c r="F74" s="1278"/>
      <c r="G74" s="1278"/>
      <c r="H74" s="1278"/>
      <c r="I74" s="1278"/>
      <c r="J74" s="1278"/>
      <c r="K74" s="1278"/>
      <c r="L74" s="1278"/>
      <c r="M74" s="1278"/>
      <c r="N74" s="1278"/>
      <c r="O74" s="1278"/>
      <c r="P74" s="1279"/>
      <c r="Q74" s="1071"/>
      <c r="R74" s="1078"/>
      <c r="S74" s="1078"/>
      <c r="T74" s="1148"/>
      <c r="U74" s="1148"/>
      <c r="V74" s="1068"/>
    </row>
    <row r="75" spans="1:22" s="1059" customFormat="1" ht="15">
      <c r="A75" s="1050" t="s">
        <v>528</v>
      </c>
      <c r="B75" s="1051" t="s">
        <v>23</v>
      </c>
      <c r="C75" s="1115" t="e">
        <f>#REF!</f>
        <v>#REF!</v>
      </c>
      <c r="D75" s="1101" t="e">
        <f>#REF!</f>
        <v>#REF!</v>
      </c>
      <c r="E75" s="1101" t="e">
        <f>#REF!</f>
        <v>#REF!</v>
      </c>
      <c r="F75" s="1101" t="e">
        <f>#REF!</f>
        <v>#REF!</v>
      </c>
      <c r="G75" s="1101" t="e">
        <f>#REF!</f>
        <v>#REF!</v>
      </c>
      <c r="H75" s="1101" t="e">
        <f>#REF!</f>
        <v>#REF!</v>
      </c>
      <c r="I75" s="1101" t="e">
        <f>#REF!</f>
        <v>#REF!</v>
      </c>
      <c r="J75" s="1101" t="e">
        <f>#REF!</f>
        <v>#REF!</v>
      </c>
      <c r="K75" s="1101" t="e">
        <f>#REF!</f>
        <v>#REF!</v>
      </c>
      <c r="L75" s="1145">
        <v>2523.879</v>
      </c>
      <c r="M75" s="1145">
        <v>2800</v>
      </c>
      <c r="N75" s="1145">
        <v>2850</v>
      </c>
      <c r="O75" s="1145">
        <v>2900</v>
      </c>
      <c r="P75" s="1146">
        <v>2900</v>
      </c>
      <c r="Q75" s="1103">
        <f>M75/L75*100</f>
        <v>110.94034222718285</v>
      </c>
      <c r="R75" s="1072">
        <f>L75/L62*1000000/12</f>
        <v>83827.52092467119</v>
      </c>
      <c r="S75" s="1072">
        <f>M75/M62*1000000/12</f>
        <v>91145.83333333333</v>
      </c>
      <c r="T75" s="1149">
        <f>S75/R75</f>
        <v>1.0873020259687567</v>
      </c>
      <c r="U75" s="1148"/>
      <c r="V75" s="1148"/>
    </row>
    <row r="76" spans="1:24" s="1059" customFormat="1" ht="15">
      <c r="A76" s="1050" t="s">
        <v>529</v>
      </c>
      <c r="B76" s="1051" t="s">
        <v>23</v>
      </c>
      <c r="C76" s="1101">
        <f>C77+2.4383</f>
        <v>103.4876</v>
      </c>
      <c r="D76" s="1101">
        <v>236.63</v>
      </c>
      <c r="E76" s="1101">
        <f>E77+39.27</f>
        <v>237.45200000000003</v>
      </c>
      <c r="F76" s="1101">
        <f>F77+61.65</f>
        <v>290.25</v>
      </c>
      <c r="G76" s="1101">
        <f>G77+52.87</f>
        <v>411.1</v>
      </c>
      <c r="H76" s="1101">
        <f>H77+56.9+17</f>
        <v>477.29999999999995</v>
      </c>
      <c r="I76" s="1101">
        <f>I77+100.286+30.983</f>
        <v>558.285</v>
      </c>
      <c r="J76" s="1101">
        <f>J77+73.497+40.213</f>
        <v>573.478</v>
      </c>
      <c r="K76" s="1101">
        <f>K77+82.252+52.986</f>
        <v>604.1809999999999</v>
      </c>
      <c r="L76" s="1101">
        <f>L77+82.624</f>
        <v>599.62</v>
      </c>
      <c r="M76" s="1101">
        <f>M77+80.649</f>
        <v>623.618</v>
      </c>
      <c r="N76" s="1101">
        <f>N77+81.947</f>
        <v>637.601</v>
      </c>
      <c r="O76" s="1101">
        <f>O77+84.405</f>
        <v>652.199</v>
      </c>
      <c r="P76" s="1102">
        <f>P77+86.937</f>
        <v>667.14</v>
      </c>
      <c r="Q76" s="1103"/>
      <c r="R76" s="1072"/>
      <c r="S76" s="1068"/>
      <c r="T76" s="1148"/>
      <c r="U76" s="1148"/>
      <c r="V76" s="1148"/>
      <c r="X76" s="1081"/>
    </row>
    <row r="77" spans="1:22" s="1059" customFormat="1" ht="15">
      <c r="A77" s="1050" t="s">
        <v>530</v>
      </c>
      <c r="B77" s="1051" t="s">
        <v>23</v>
      </c>
      <c r="C77" s="1101">
        <v>101.0493</v>
      </c>
      <c r="D77" s="1101">
        <v>233.31</v>
      </c>
      <c r="E77" s="1101">
        <f>191.662+6.52</f>
        <v>198.18200000000002</v>
      </c>
      <c r="F77" s="1101">
        <v>228.6</v>
      </c>
      <c r="G77" s="1101">
        <v>358.23</v>
      </c>
      <c r="H77" s="1101">
        <v>403.4</v>
      </c>
      <c r="I77" s="1101">
        <v>427.016</v>
      </c>
      <c r="J77" s="1101">
        <v>459.768</v>
      </c>
      <c r="K77" s="1101">
        <v>468.943</v>
      </c>
      <c r="L77" s="1101">
        <f>527.696-10.7</f>
        <v>516.996</v>
      </c>
      <c r="M77" s="1101">
        <v>542.969</v>
      </c>
      <c r="N77" s="1101">
        <v>555.654</v>
      </c>
      <c r="O77" s="1101">
        <v>567.794</v>
      </c>
      <c r="P77" s="1102">
        <v>580.203</v>
      </c>
      <c r="Q77" s="1103"/>
      <c r="R77" s="1072"/>
      <c r="S77" s="1068"/>
      <c r="T77" s="1148"/>
      <c r="U77" s="1148"/>
      <c r="V77" s="1148"/>
    </row>
    <row r="78" spans="1:22" s="1059" customFormat="1" ht="15">
      <c r="A78" s="1050" t="s">
        <v>531</v>
      </c>
      <c r="B78" s="1051" t="s">
        <v>23</v>
      </c>
      <c r="C78" s="1150">
        <v>20</v>
      </c>
      <c r="D78" s="1150">
        <v>20</v>
      </c>
      <c r="E78" s="1151">
        <v>20</v>
      </c>
      <c r="F78" s="1151">
        <f>2.614+2</f>
        <v>4.614</v>
      </c>
      <c r="G78" s="1151">
        <v>7</v>
      </c>
      <c r="H78" s="1151">
        <v>8</v>
      </c>
      <c r="I78" s="1151">
        <v>10</v>
      </c>
      <c r="J78" s="1151">
        <v>17</v>
      </c>
      <c r="K78" s="1151">
        <v>18</v>
      </c>
      <c r="L78" s="1151">
        <v>20</v>
      </c>
      <c r="M78" s="1151">
        <v>23</v>
      </c>
      <c r="N78" s="1151">
        <v>25</v>
      </c>
      <c r="O78" s="1151">
        <v>25</v>
      </c>
      <c r="P78" s="1152">
        <v>25</v>
      </c>
      <c r="Q78" s="1124"/>
      <c r="R78" s="1072"/>
      <c r="S78" s="1068"/>
      <c r="T78" s="1148"/>
      <c r="U78" s="1148"/>
      <c r="V78" s="1148"/>
    </row>
    <row r="79" spans="1:31" s="1059" customFormat="1" ht="15">
      <c r="A79" s="1050" t="s">
        <v>275</v>
      </c>
      <c r="B79" s="1051" t="s">
        <v>85</v>
      </c>
      <c r="C79" s="1115">
        <v>9856</v>
      </c>
      <c r="D79" s="1153">
        <v>10800</v>
      </c>
      <c r="E79" s="1153">
        <v>10961</v>
      </c>
      <c r="F79" s="1154">
        <v>11114</v>
      </c>
      <c r="G79" s="1154">
        <v>12157</v>
      </c>
      <c r="H79" s="1155">
        <v>13381</v>
      </c>
      <c r="I79" s="1155">
        <v>14568</v>
      </c>
      <c r="J79" s="1155">
        <v>16537</v>
      </c>
      <c r="K79" s="1155">
        <v>18072</v>
      </c>
      <c r="L79" s="1155">
        <v>20194</v>
      </c>
      <c r="M79" s="1155">
        <v>21680</v>
      </c>
      <c r="N79" s="1155">
        <v>22534</v>
      </c>
      <c r="O79" s="1155">
        <v>23196</v>
      </c>
      <c r="P79" s="1156">
        <v>24189</v>
      </c>
      <c r="Q79" s="1157"/>
      <c r="R79" s="1072"/>
      <c r="S79" s="1068"/>
      <c r="T79" s="1158"/>
      <c r="U79" s="1159"/>
      <c r="V79" s="1159"/>
      <c r="W79" s="1159"/>
      <c r="X79" s="1160"/>
      <c r="Y79" s="1161"/>
      <c r="Z79" s="1161"/>
      <c r="AA79" s="1162"/>
      <c r="AB79" s="1162"/>
      <c r="AC79" s="1068"/>
      <c r="AD79" s="1068"/>
      <c r="AE79" s="1068"/>
    </row>
    <row r="80" spans="1:31" s="1059" customFormat="1" ht="30">
      <c r="A80" s="1050" t="s">
        <v>86</v>
      </c>
      <c r="B80" s="1051" t="s">
        <v>87</v>
      </c>
      <c r="C80" s="1163" t="s">
        <v>88</v>
      </c>
      <c r="D80" s="1163" t="s">
        <v>88</v>
      </c>
      <c r="E80" s="1163" t="s">
        <v>89</v>
      </c>
      <c r="F80" s="1164">
        <v>0.102</v>
      </c>
      <c r="G80" s="1164">
        <v>0.1</v>
      </c>
      <c r="H80" s="1165">
        <v>0.093</v>
      </c>
      <c r="I80" s="1165">
        <v>0.092</v>
      </c>
      <c r="J80" s="1165">
        <v>0.085</v>
      </c>
      <c r="K80" s="1165">
        <v>0.084</v>
      </c>
      <c r="L80" s="1165">
        <v>0.083</v>
      </c>
      <c r="M80" s="1165">
        <v>0.082</v>
      </c>
      <c r="N80" s="1165">
        <v>0.082</v>
      </c>
      <c r="O80" s="1165">
        <v>0.081</v>
      </c>
      <c r="P80" s="1166">
        <v>0.08</v>
      </c>
      <c r="Q80" s="1167"/>
      <c r="R80" s="1072"/>
      <c r="S80" s="1068"/>
      <c r="T80" s="1068"/>
      <c r="U80" s="1068"/>
      <c r="V80" s="1068"/>
      <c r="W80" s="1068"/>
      <c r="X80" s="1068"/>
      <c r="Y80" s="1068"/>
      <c r="Z80" s="1068"/>
      <c r="AA80" s="1068"/>
      <c r="AB80" s="1068"/>
      <c r="AC80" s="1068"/>
      <c r="AD80" s="1068"/>
      <c r="AE80" s="1068"/>
    </row>
    <row r="81" spans="1:24" s="1043" customFormat="1" ht="15.75">
      <c r="A81" s="1273" t="s">
        <v>536</v>
      </c>
      <c r="B81" s="1299"/>
      <c r="C81" s="1274"/>
      <c r="D81" s="1274"/>
      <c r="E81" s="1274"/>
      <c r="F81" s="1274"/>
      <c r="G81" s="1274"/>
      <c r="H81" s="1274"/>
      <c r="I81" s="1274"/>
      <c r="J81" s="1274"/>
      <c r="K81" s="1274"/>
      <c r="L81" s="1274"/>
      <c r="M81" s="1274"/>
      <c r="N81" s="1274"/>
      <c r="O81" s="1274"/>
      <c r="P81" s="1275"/>
      <c r="Q81" s="425"/>
      <c r="R81" s="426"/>
      <c r="S81" s="1047"/>
      <c r="T81" s="1049"/>
      <c r="U81" s="1046"/>
      <c r="V81" s="1046"/>
      <c r="W81" s="1046"/>
      <c r="X81" s="1046"/>
    </row>
    <row r="82" spans="1:24" s="1059" customFormat="1" ht="15">
      <c r="A82" s="1050" t="s">
        <v>114</v>
      </c>
      <c r="B82" s="1051" t="s">
        <v>115</v>
      </c>
      <c r="C82" s="1120" t="s">
        <v>43</v>
      </c>
      <c r="D82" s="1120">
        <v>0</v>
      </c>
      <c r="E82" s="1169" t="s">
        <v>116</v>
      </c>
      <c r="F82" s="1169" t="s">
        <v>116</v>
      </c>
      <c r="G82" s="1169" t="s">
        <v>247</v>
      </c>
      <c r="H82" s="1169" t="s">
        <v>116</v>
      </c>
      <c r="I82" s="1169" t="s">
        <v>356</v>
      </c>
      <c r="J82" s="1169" t="s">
        <v>116</v>
      </c>
      <c r="K82" s="1169" t="s">
        <v>116</v>
      </c>
      <c r="L82" s="1169" t="s">
        <v>491</v>
      </c>
      <c r="M82" s="1170">
        <v>1153.5</v>
      </c>
      <c r="N82" s="1170">
        <v>4302.6</v>
      </c>
      <c r="O82" s="1170">
        <v>0</v>
      </c>
      <c r="P82" s="1171">
        <v>0</v>
      </c>
      <c r="Q82" s="1172"/>
      <c r="R82" s="1088"/>
      <c r="S82" s="1081"/>
      <c r="T82" s="1148"/>
      <c r="U82" s="1148"/>
      <c r="V82" s="1148"/>
      <c r="W82" s="1068"/>
      <c r="X82" s="1068"/>
    </row>
    <row r="83" spans="1:24" s="1059" customFormat="1" ht="15">
      <c r="A83" s="1050" t="s">
        <v>117</v>
      </c>
      <c r="B83" s="1051" t="s">
        <v>118</v>
      </c>
      <c r="C83" s="1173">
        <v>28.35</v>
      </c>
      <c r="D83" s="1173">
        <v>25.26</v>
      </c>
      <c r="E83" s="1173">
        <f>(111299.91+31700.9)/E6/1000</f>
        <v>27.0988838355126</v>
      </c>
      <c r="F83" s="1173">
        <f>134885.49/F6/1000</f>
        <v>25.202819506726453</v>
      </c>
      <c r="G83" s="1173">
        <f>(133855.39+G82)/G6/1000</f>
        <v>26.107350709978608</v>
      </c>
      <c r="H83" s="1109">
        <f>(131831.6+H82)/H6/1000</f>
        <v>25.366865499326533</v>
      </c>
      <c r="I83" s="1109">
        <f>(123135.42+I82)/I6/1000</f>
        <v>24.201721983600155</v>
      </c>
      <c r="J83" s="1109">
        <f>(131831.6+J82)/J6/1000</f>
        <v>27.38504362276693</v>
      </c>
      <c r="K83" s="1109">
        <f>(127340.82+K82)/K6/1000</f>
        <v>27.139987212276214</v>
      </c>
      <c r="L83" s="1109">
        <f>(122000)/L6/1000</f>
        <v>25.77101816645543</v>
      </c>
      <c r="M83" s="1109">
        <f>(122000+M82)/M6/1000</f>
        <v>25.927052631578945</v>
      </c>
      <c r="N83" s="1109">
        <f>(133626.04)/N6/1000</f>
        <v>27.838758333333335</v>
      </c>
      <c r="O83" s="1109">
        <f>(133626.04+O82)/O6/1000</f>
        <v>27.55176082474227</v>
      </c>
      <c r="P83" s="1174">
        <f>(133626.04+P82)/P6/1000</f>
        <v>27.270620408163264</v>
      </c>
      <c r="Q83" s="1103"/>
      <c r="R83" s="1175"/>
      <c r="S83" s="1081"/>
      <c r="T83" s="1148"/>
      <c r="U83" s="1148"/>
      <c r="V83" s="1148"/>
      <c r="W83" s="1068"/>
      <c r="X83" s="1068"/>
    </row>
    <row r="84" spans="1:24" s="1059" customFormat="1" ht="15">
      <c r="A84" s="1050" t="s">
        <v>119</v>
      </c>
      <c r="B84" s="1051" t="s">
        <v>23</v>
      </c>
      <c r="C84" s="1169" t="s">
        <v>120</v>
      </c>
      <c r="D84" s="1169" t="s">
        <v>121</v>
      </c>
      <c r="E84" s="1173">
        <v>590.7679</v>
      </c>
      <c r="F84" s="1173">
        <v>616.6904</v>
      </c>
      <c r="G84" s="1176">
        <f>E84*105.9%</f>
        <v>625.6232061000002</v>
      </c>
      <c r="H84" s="1177">
        <f>732.03/1.18</f>
        <v>620.3644067796611</v>
      </c>
      <c r="I84" s="1177">
        <v>606.252</v>
      </c>
      <c r="J84" s="1177">
        <v>504.87</v>
      </c>
      <c r="K84" s="1177">
        <v>519.54</v>
      </c>
      <c r="L84" s="1177">
        <v>535.21</v>
      </c>
      <c r="M84" s="1177">
        <v>451</v>
      </c>
      <c r="N84" s="1177">
        <v>465</v>
      </c>
      <c r="O84" s="1177">
        <v>480</v>
      </c>
      <c r="P84" s="1178">
        <v>495</v>
      </c>
      <c r="Q84" s="1168"/>
      <c r="R84" s="1088"/>
      <c r="S84" s="1081"/>
      <c r="T84" s="1148"/>
      <c r="U84" s="1068"/>
      <c r="V84" s="1068"/>
      <c r="W84" s="1068"/>
      <c r="X84" s="1068"/>
    </row>
    <row r="85" spans="1:20" s="1059" customFormat="1" ht="15">
      <c r="A85" s="1050" t="s">
        <v>122</v>
      </c>
      <c r="B85" s="1051" t="s">
        <v>87</v>
      </c>
      <c r="C85" s="1163" t="s">
        <v>123</v>
      </c>
      <c r="D85" s="1163" t="s">
        <v>124</v>
      </c>
      <c r="E85" s="1163" t="s">
        <v>125</v>
      </c>
      <c r="F85" s="1163" t="s">
        <v>186</v>
      </c>
      <c r="G85" s="1163" t="s">
        <v>187</v>
      </c>
      <c r="H85" s="1179">
        <v>0.29</v>
      </c>
      <c r="I85" s="1179">
        <v>0.24</v>
      </c>
      <c r="J85" s="1179">
        <v>0.9167</v>
      </c>
      <c r="K85" s="1179">
        <v>0.976</v>
      </c>
      <c r="L85" s="1179">
        <v>0.8748</v>
      </c>
      <c r="M85" s="1179">
        <v>0.95</v>
      </c>
      <c r="N85" s="1179">
        <v>0.98</v>
      </c>
      <c r="O85" s="1179">
        <v>0.98</v>
      </c>
      <c r="P85" s="1180">
        <v>0.98</v>
      </c>
      <c r="Q85" s="1181"/>
      <c r="R85" s="1182"/>
      <c r="S85" s="1081"/>
      <c r="T85" s="1081"/>
    </row>
    <row r="86" spans="1:21" s="1059" customFormat="1" ht="15">
      <c r="A86" s="1050" t="s">
        <v>126</v>
      </c>
      <c r="B86" s="1051" t="s">
        <v>52</v>
      </c>
      <c r="C86" s="1169" t="s">
        <v>127</v>
      </c>
      <c r="D86" s="1169" t="s">
        <v>128</v>
      </c>
      <c r="E86" s="1173">
        <f>172+405+49+219+21+101+33+39+199</f>
        <v>1238</v>
      </c>
      <c r="F86" s="1173">
        <v>1212</v>
      </c>
      <c r="G86" s="1170">
        <f>189+390+537</f>
        <v>1116</v>
      </c>
      <c r="H86" s="1170">
        <f>202+506+53+419</f>
        <v>1180</v>
      </c>
      <c r="I86" s="1170">
        <f>198+412+483</f>
        <v>1093</v>
      </c>
      <c r="J86" s="1170">
        <f>192+361+460</f>
        <v>1013</v>
      </c>
      <c r="K86" s="1170">
        <f>195+842</f>
        <v>1037</v>
      </c>
      <c r="L86" s="1170">
        <f>200+851</f>
        <v>1051</v>
      </c>
      <c r="M86" s="1170">
        <f>186+852</f>
        <v>1038</v>
      </c>
      <c r="N86" s="1170">
        <f>200+866</f>
        <v>1066</v>
      </c>
      <c r="O86" s="1170">
        <v>1066</v>
      </c>
      <c r="P86" s="1171">
        <v>1066</v>
      </c>
      <c r="Q86" s="1147"/>
      <c r="R86" s="1088"/>
      <c r="S86" s="1081"/>
      <c r="T86" s="1081"/>
      <c r="U86" s="1183"/>
    </row>
    <row r="87" spans="1:21" s="1059" customFormat="1" ht="15">
      <c r="A87" s="1050" t="s">
        <v>205</v>
      </c>
      <c r="B87" s="1051" t="s">
        <v>52</v>
      </c>
      <c r="C87" s="1169"/>
      <c r="D87" s="1169"/>
      <c r="E87" s="1169"/>
      <c r="F87" s="1169"/>
      <c r="G87" s="1169"/>
      <c r="H87" s="1169" t="s">
        <v>274</v>
      </c>
      <c r="I87" s="1169" t="s">
        <v>354</v>
      </c>
      <c r="J87" s="1169" t="s">
        <v>379</v>
      </c>
      <c r="K87" s="1169" t="s">
        <v>383</v>
      </c>
      <c r="L87" s="1169" t="s">
        <v>474</v>
      </c>
      <c r="M87" s="1169" t="s">
        <v>475</v>
      </c>
      <c r="N87" s="1169" t="s">
        <v>355</v>
      </c>
      <c r="O87" s="1169" t="s">
        <v>355</v>
      </c>
      <c r="P87" s="1184" t="s">
        <v>355</v>
      </c>
      <c r="Q87" s="1185"/>
      <c r="R87" s="1088"/>
      <c r="S87" s="1081"/>
      <c r="T87" s="1081"/>
      <c r="U87" s="1183"/>
    </row>
    <row r="88" spans="1:20" s="1059" customFormat="1" ht="15">
      <c r="A88" s="1276" t="s">
        <v>135</v>
      </c>
      <c r="B88" s="1277"/>
      <c r="C88" s="1277"/>
      <c r="D88" s="1277"/>
      <c r="E88" s="1277"/>
      <c r="F88" s="1277"/>
      <c r="G88" s="1277"/>
      <c r="H88" s="1277"/>
      <c r="I88" s="1277"/>
      <c r="J88" s="1277"/>
      <c r="K88" s="1277"/>
      <c r="L88" s="1277"/>
      <c r="M88" s="1277"/>
      <c r="N88" s="1277"/>
      <c r="O88" s="1277"/>
      <c r="P88" s="1300"/>
      <c r="Q88" s="1144"/>
      <c r="R88" s="1088"/>
      <c r="S88" s="1186"/>
      <c r="T88" s="1081"/>
    </row>
    <row r="89" spans="1:20" s="1059" customFormat="1" ht="15">
      <c r="A89" s="1050" t="s">
        <v>517</v>
      </c>
      <c r="B89" s="1051" t="s">
        <v>137</v>
      </c>
      <c r="C89" s="1151">
        <v>22.5</v>
      </c>
      <c r="D89" s="1151">
        <v>11</v>
      </c>
      <c r="E89" s="1151">
        <v>11</v>
      </c>
      <c r="F89" s="1151">
        <f>62/F6</f>
        <v>11.584454409566517</v>
      </c>
      <c r="G89" s="1151">
        <f>62/G6</f>
        <v>12.059910523244504</v>
      </c>
      <c r="H89" s="1187">
        <f>62/H6</f>
        <v>11.929959592072349</v>
      </c>
      <c r="I89" s="1187">
        <f aca="true" t="shared" si="13" ref="I89:P89">52/I6</f>
        <v>10.152284263959391</v>
      </c>
      <c r="J89" s="1187">
        <f t="shared" si="13"/>
        <v>10.80182800166182</v>
      </c>
      <c r="K89" s="1187">
        <f t="shared" si="13"/>
        <v>11.082693947144074</v>
      </c>
      <c r="L89" s="1187">
        <f>52/L6</f>
        <v>10.984368398817068</v>
      </c>
      <c r="M89" s="1187">
        <f>52/M6</f>
        <v>10.947368421052632</v>
      </c>
      <c r="N89" s="1187">
        <f t="shared" si="13"/>
        <v>10.833333333333334</v>
      </c>
      <c r="O89" s="1187">
        <f t="shared" si="13"/>
        <v>10.721649484536083</v>
      </c>
      <c r="P89" s="1188">
        <f t="shared" si="13"/>
        <v>10.612244897959183</v>
      </c>
      <c r="Q89" s="1189"/>
      <c r="R89" s="1088"/>
      <c r="S89" s="1081"/>
      <c r="T89" s="1081"/>
    </row>
    <row r="90" spans="1:20" s="1059" customFormat="1" ht="30">
      <c r="A90" s="1074" t="s">
        <v>516</v>
      </c>
      <c r="B90" s="1051" t="s">
        <v>139</v>
      </c>
      <c r="C90" s="1151">
        <v>63.6</v>
      </c>
      <c r="D90" s="1151">
        <v>42</v>
      </c>
      <c r="E90" s="1151">
        <f>132.1/4.937</f>
        <v>26.75713996354061</v>
      </c>
      <c r="F90" s="1190">
        <f>143/2.983</f>
        <v>47.93831713040563</v>
      </c>
      <c r="G90" s="1190">
        <f>150/2.734</f>
        <v>54.864667154352595</v>
      </c>
      <c r="H90" s="1191">
        <f>183.2/3.414</f>
        <v>53.6613942589338</v>
      </c>
      <c r="I90" s="1191">
        <f>185.2/3.469</f>
        <v>53.38714326895359</v>
      </c>
      <c r="J90" s="1191">
        <f>242.2/3.231</f>
        <v>74.96131228721758</v>
      </c>
      <c r="K90" s="1191">
        <f>237/3.405</f>
        <v>69.60352422907489</v>
      </c>
      <c r="L90" s="1191">
        <f>237/3.785</f>
        <v>62.61558784676354</v>
      </c>
      <c r="M90" s="1191">
        <f>237/3.785</f>
        <v>62.61558784676354</v>
      </c>
      <c r="N90" s="1191">
        <f>237/3.785</f>
        <v>62.61558784676354</v>
      </c>
      <c r="O90" s="1191">
        <f>237/3.785</f>
        <v>62.61558784676354</v>
      </c>
      <c r="P90" s="1192">
        <f>237/3.785</f>
        <v>62.61558784676354</v>
      </c>
      <c r="Q90" s="1193"/>
      <c r="R90" s="1088"/>
      <c r="S90" s="1081"/>
      <c r="T90" s="1081"/>
    </row>
    <row r="91" spans="1:20" s="1059" customFormat="1" ht="30">
      <c r="A91" s="1074" t="s">
        <v>510</v>
      </c>
      <c r="B91" s="1051" t="s">
        <v>139</v>
      </c>
      <c r="C91" s="1151">
        <v>4</v>
      </c>
      <c r="D91" s="1151">
        <v>4</v>
      </c>
      <c r="E91" s="1151">
        <f>11.8/0.34</f>
        <v>34.705882352941174</v>
      </c>
      <c r="F91" s="1151">
        <f>24.4/0.742</f>
        <v>32.884097035040426</v>
      </c>
      <c r="G91" s="1151">
        <f>22.4/((176+376+211+159)/1000)</f>
        <v>24.295010845986983</v>
      </c>
      <c r="H91" s="1122">
        <f>29.6/((367+175+157+210)/1000)</f>
        <v>32.563256325632565</v>
      </c>
      <c r="I91" s="1122">
        <f>28.1/((350+169+159+208)/1000)</f>
        <v>31.715575620767495</v>
      </c>
      <c r="J91" s="1122">
        <f>33.1/0.85</f>
        <v>38.94117647058824</v>
      </c>
      <c r="K91" s="1122">
        <f>28.8/0.782</f>
        <v>36.828644501278774</v>
      </c>
      <c r="L91" s="1122">
        <f>31/0.809</f>
        <v>38.31891223733003</v>
      </c>
      <c r="M91" s="1122">
        <f>31/0.809</f>
        <v>38.31891223733003</v>
      </c>
      <c r="N91" s="1122">
        <f>31/0.809</f>
        <v>38.31891223733003</v>
      </c>
      <c r="O91" s="1122">
        <f>31/0.809</f>
        <v>38.31891223733003</v>
      </c>
      <c r="P91" s="1123">
        <f>31/0.809</f>
        <v>38.31891223733003</v>
      </c>
      <c r="Q91" s="1124"/>
      <c r="R91" s="1088"/>
      <c r="S91" s="1081"/>
      <c r="T91" s="1081"/>
    </row>
    <row r="92" spans="1:20" s="1059" customFormat="1" ht="15">
      <c r="A92" s="1074" t="s">
        <v>511</v>
      </c>
      <c r="B92" s="1051" t="s">
        <v>142</v>
      </c>
      <c r="C92" s="1151">
        <v>5.8</v>
      </c>
      <c r="D92" s="1151">
        <v>4</v>
      </c>
      <c r="E92" s="1151">
        <f>26/E6</f>
        <v>4.927041879855978</v>
      </c>
      <c r="F92" s="1151">
        <f>25/F6</f>
        <v>4.671150971599402</v>
      </c>
      <c r="G92" s="1151">
        <f>29/G6</f>
        <v>5.640925889904688</v>
      </c>
      <c r="H92" s="1151">
        <f>29/H6</f>
        <v>5.580142389840292</v>
      </c>
      <c r="I92" s="1151">
        <f>28/I6</f>
        <v>5.4666146036704415</v>
      </c>
      <c r="J92" s="1151">
        <f>26/J6</f>
        <v>5.40091400083091</v>
      </c>
      <c r="K92" s="1151">
        <f>28/K6</f>
        <v>5.967604433077579</v>
      </c>
      <c r="L92" s="1151">
        <f>30/L6</f>
        <v>6.337135614702155</v>
      </c>
      <c r="M92" s="1151">
        <f>33/M6</f>
        <v>6.947368421052632</v>
      </c>
      <c r="N92" s="1151">
        <f>32/N6</f>
        <v>6.666666666666667</v>
      </c>
      <c r="O92" s="1151">
        <f>32/O6</f>
        <v>6.5979381443298974</v>
      </c>
      <c r="P92" s="1152">
        <f>32/P6</f>
        <v>6.530612244897958</v>
      </c>
      <c r="Q92" s="1124"/>
      <c r="R92" s="1088"/>
      <c r="S92" s="1081"/>
      <c r="T92" s="1081"/>
    </row>
    <row r="93" spans="1:20" s="1059" customFormat="1" ht="15">
      <c r="A93" s="1074" t="s">
        <v>512</v>
      </c>
      <c r="B93" s="1051" t="s">
        <v>142</v>
      </c>
      <c r="C93" s="1151">
        <v>17.3</v>
      </c>
      <c r="D93" s="1151">
        <v>11</v>
      </c>
      <c r="E93" s="1151">
        <f>96/E6</f>
        <v>18.192154633314384</v>
      </c>
      <c r="F93" s="1151">
        <f>85/F6</f>
        <v>15.881913303437965</v>
      </c>
      <c r="G93" s="1151">
        <f>83/G6</f>
        <v>16.144718926278934</v>
      </c>
      <c r="H93" s="1151">
        <f>85/H6</f>
        <v>16.355589763324996</v>
      </c>
      <c r="I93" s="1151">
        <f>86/I6</f>
        <v>16.79031628270207</v>
      </c>
      <c r="J93" s="1151">
        <f>84/J6</f>
        <v>17.449106771915247</v>
      </c>
      <c r="K93" s="1151">
        <f>84/K6</f>
        <v>17.902813299232736</v>
      </c>
      <c r="L93" s="1151">
        <f>81/L6</f>
        <v>17.11026615969582</v>
      </c>
      <c r="M93" s="1151">
        <f>80/M6</f>
        <v>16.842105263157894</v>
      </c>
      <c r="N93" s="1151">
        <f>81/N6</f>
        <v>16.875</v>
      </c>
      <c r="O93" s="1151">
        <f>83/O6</f>
        <v>17.11340206185567</v>
      </c>
      <c r="P93" s="1152">
        <f>83/P6</f>
        <v>16.93877551020408</v>
      </c>
      <c r="Q93" s="1124"/>
      <c r="R93" s="1088"/>
      <c r="S93" s="1081"/>
      <c r="T93" s="1081"/>
    </row>
    <row r="94" spans="1:20" s="1059" customFormat="1" ht="15">
      <c r="A94" s="1074" t="s">
        <v>513</v>
      </c>
      <c r="B94" s="1051" t="s">
        <v>145</v>
      </c>
      <c r="C94" s="1151">
        <v>2</v>
      </c>
      <c r="D94" s="1151">
        <v>2</v>
      </c>
      <c r="E94" s="1151">
        <v>2</v>
      </c>
      <c r="F94" s="1151">
        <f>9/F6</f>
        <v>1.6816143497757847</v>
      </c>
      <c r="G94" s="1122">
        <f aca="true" t="shared" si="14" ref="G94:P94">7/G6</f>
        <v>1.3616028010114765</v>
      </c>
      <c r="H94" s="1122">
        <f t="shared" si="14"/>
        <v>1.3469309216855878</v>
      </c>
      <c r="I94" s="1122">
        <f t="shared" si="14"/>
        <v>1.3666536509176104</v>
      </c>
      <c r="J94" s="1122">
        <f t="shared" si="14"/>
        <v>1.4540922309929372</v>
      </c>
      <c r="K94" s="1122">
        <f t="shared" si="14"/>
        <v>1.4919011082693947</v>
      </c>
      <c r="L94" s="1122">
        <f>7/L6</f>
        <v>1.478664976763836</v>
      </c>
      <c r="M94" s="1122">
        <f>7/M6</f>
        <v>1.4736842105263157</v>
      </c>
      <c r="N94" s="1122">
        <f t="shared" si="14"/>
        <v>1.4583333333333335</v>
      </c>
      <c r="O94" s="1122">
        <f t="shared" si="14"/>
        <v>1.4432989690721651</v>
      </c>
      <c r="P94" s="1123">
        <f t="shared" si="14"/>
        <v>1.4285714285714284</v>
      </c>
      <c r="Q94" s="1124"/>
      <c r="R94" s="1088"/>
      <c r="S94" s="1081"/>
      <c r="T94" s="1081"/>
    </row>
    <row r="95" spans="1:18" s="1059" customFormat="1" ht="15">
      <c r="A95" s="1074" t="s">
        <v>514</v>
      </c>
      <c r="B95" s="1051" t="s">
        <v>145</v>
      </c>
      <c r="C95" s="1151">
        <v>1.75</v>
      </c>
      <c r="D95" s="1151">
        <v>1.75</v>
      </c>
      <c r="E95" s="1151">
        <v>1.75</v>
      </c>
      <c r="F95" s="1151">
        <f>8/F6</f>
        <v>1.4947683109118086</v>
      </c>
      <c r="G95" s="1122">
        <f aca="true" t="shared" si="15" ref="G95:P95">7/G6</f>
        <v>1.3616028010114765</v>
      </c>
      <c r="H95" s="1122">
        <f t="shared" si="15"/>
        <v>1.3469309216855878</v>
      </c>
      <c r="I95" s="1122">
        <f>7/I6</f>
        <v>1.3666536509176104</v>
      </c>
      <c r="J95" s="1122">
        <f t="shared" si="15"/>
        <v>1.4540922309929372</v>
      </c>
      <c r="K95" s="1122">
        <f t="shared" si="15"/>
        <v>1.4919011082693947</v>
      </c>
      <c r="L95" s="1122">
        <f>7/L6</f>
        <v>1.478664976763836</v>
      </c>
      <c r="M95" s="1122">
        <f>7/M6</f>
        <v>1.4736842105263157</v>
      </c>
      <c r="N95" s="1122">
        <f t="shared" si="15"/>
        <v>1.4583333333333335</v>
      </c>
      <c r="O95" s="1122">
        <f t="shared" si="15"/>
        <v>1.4432989690721651</v>
      </c>
      <c r="P95" s="1123">
        <f t="shared" si="15"/>
        <v>1.4285714285714284</v>
      </c>
      <c r="Q95" s="1124"/>
      <c r="R95" s="1088"/>
    </row>
    <row r="96" spans="1:21" s="1059" customFormat="1" ht="15">
      <c r="A96" s="1050" t="s">
        <v>147</v>
      </c>
      <c r="B96" s="1051" t="s">
        <v>148</v>
      </c>
      <c r="C96" s="1163" t="s">
        <v>149</v>
      </c>
      <c r="D96" s="1163" t="s">
        <v>149</v>
      </c>
      <c r="E96" s="1163" t="s">
        <v>149</v>
      </c>
      <c r="F96" s="1163" t="s">
        <v>149</v>
      </c>
      <c r="G96" s="1194" t="s">
        <v>149</v>
      </c>
      <c r="H96" s="1194" t="s">
        <v>149</v>
      </c>
      <c r="I96" s="1194" t="s">
        <v>149</v>
      </c>
      <c r="J96" s="1194" t="s">
        <v>149</v>
      </c>
      <c r="K96" s="1194" t="s">
        <v>149</v>
      </c>
      <c r="L96" s="1194" t="s">
        <v>149</v>
      </c>
      <c r="M96" s="1194" t="s">
        <v>149</v>
      </c>
      <c r="N96" s="1194" t="s">
        <v>149</v>
      </c>
      <c r="O96" s="1194" t="s">
        <v>149</v>
      </c>
      <c r="P96" s="1195" t="s">
        <v>149</v>
      </c>
      <c r="Q96" s="1196"/>
      <c r="R96" s="1088"/>
      <c r="S96" s="1081"/>
      <c r="U96" s="1081"/>
    </row>
    <row r="97" spans="1:18" s="1043" customFormat="1" ht="16.5" thickBot="1">
      <c r="A97" s="1273" t="s">
        <v>506</v>
      </c>
      <c r="B97" s="1274"/>
      <c r="C97" s="1274"/>
      <c r="D97" s="1274"/>
      <c r="E97" s="1274"/>
      <c r="F97" s="1274"/>
      <c r="G97" s="1274"/>
      <c r="H97" s="1274"/>
      <c r="I97" s="1274"/>
      <c r="J97" s="1274"/>
      <c r="K97" s="1274"/>
      <c r="L97" s="1274"/>
      <c r="M97" s="1274"/>
      <c r="N97" s="1274"/>
      <c r="O97" s="1274"/>
      <c r="P97" s="1275"/>
      <c r="Q97" s="425"/>
      <c r="R97" s="426"/>
    </row>
    <row r="98" spans="1:27" s="1059" customFormat="1" ht="15.75" thickBot="1">
      <c r="A98" s="1249" t="s">
        <v>163</v>
      </c>
      <c r="B98" s="1051" t="s">
        <v>164</v>
      </c>
      <c r="C98" s="1176">
        <v>67.91</v>
      </c>
      <c r="D98" s="1176">
        <f aca="true" t="shared" si="16" ref="D98:P98">SUM(D100+D101)</f>
        <v>89.86</v>
      </c>
      <c r="E98" s="1176">
        <f>SUM(E100+E101)</f>
        <v>90.25200000000001</v>
      </c>
      <c r="F98" s="1176">
        <f>SUM(F100+F101)</f>
        <v>82.804</v>
      </c>
      <c r="G98" s="1176">
        <f t="shared" si="16"/>
        <v>74.045</v>
      </c>
      <c r="H98" s="1176">
        <f t="shared" si="16"/>
        <v>81.57300000000001</v>
      </c>
      <c r="I98" s="1197">
        <f t="shared" si="16"/>
        <v>79.58000000000001</v>
      </c>
      <c r="J98" s="1197">
        <f t="shared" si="16"/>
        <v>78.18</v>
      </c>
      <c r="K98" s="1197">
        <f t="shared" si="16"/>
        <v>71.6</v>
      </c>
      <c r="L98" s="1197">
        <f t="shared" si="16"/>
        <v>73.3</v>
      </c>
      <c r="M98" s="1197">
        <f t="shared" si="16"/>
        <v>75.09</v>
      </c>
      <c r="N98" s="1197">
        <f t="shared" si="16"/>
        <v>77.7</v>
      </c>
      <c r="O98" s="1197">
        <f t="shared" si="16"/>
        <v>78.5</v>
      </c>
      <c r="P98" s="1198">
        <f t="shared" si="16"/>
        <v>79.3</v>
      </c>
      <c r="Q98" s="1168"/>
      <c r="R98" s="1088"/>
      <c r="S98" s="1294" t="s">
        <v>215</v>
      </c>
      <c r="T98" s="1295"/>
      <c r="U98" s="1295"/>
      <c r="V98" s="1295"/>
      <c r="W98" s="1295"/>
      <c r="X98" s="1295"/>
      <c r="Y98" s="1295"/>
      <c r="Z98" s="1295"/>
      <c r="AA98" s="1296"/>
    </row>
    <row r="99" spans="1:27" s="1059" customFormat="1" ht="15.75" thickBot="1">
      <c r="A99" s="1276" t="s">
        <v>515</v>
      </c>
      <c r="B99" s="1278"/>
      <c r="C99" s="1278"/>
      <c r="D99" s="1278"/>
      <c r="E99" s="1278"/>
      <c r="F99" s="1278"/>
      <c r="G99" s="1278"/>
      <c r="H99" s="1278"/>
      <c r="I99" s="1278"/>
      <c r="J99" s="1278"/>
      <c r="K99" s="1278"/>
      <c r="L99" s="1278"/>
      <c r="M99" s="1278"/>
      <c r="N99" s="1278"/>
      <c r="O99" s="1278"/>
      <c r="P99" s="1279"/>
      <c r="Q99" s="1071"/>
      <c r="R99" s="1088"/>
      <c r="S99" s="1199"/>
      <c r="T99" s="1200">
        <v>2014</v>
      </c>
      <c r="U99" s="1200">
        <v>2015</v>
      </c>
      <c r="V99" s="1200">
        <v>2016</v>
      </c>
      <c r="W99" s="1201">
        <v>2017</v>
      </c>
      <c r="X99" s="1201">
        <v>2018</v>
      </c>
      <c r="Y99" s="1201">
        <v>2019</v>
      </c>
      <c r="Z99" s="1201">
        <v>2020</v>
      </c>
      <c r="AA99" s="1202">
        <v>2021</v>
      </c>
    </row>
    <row r="100" spans="1:27" s="1059" customFormat="1" ht="15">
      <c r="A100" s="1050" t="s">
        <v>166</v>
      </c>
      <c r="B100" s="1051" t="s">
        <v>164</v>
      </c>
      <c r="C100" s="1203">
        <v>52.2806</v>
      </c>
      <c r="D100" s="1204">
        <v>76.52</v>
      </c>
      <c r="E100" s="1203">
        <v>76.132</v>
      </c>
      <c r="F100" s="1203">
        <v>70.33</v>
      </c>
      <c r="G100" s="1203">
        <v>61.096</v>
      </c>
      <c r="H100" s="1203">
        <v>70.483</v>
      </c>
      <c r="I100" s="1205">
        <v>68.54</v>
      </c>
      <c r="J100" s="1205">
        <v>68.23</v>
      </c>
      <c r="K100" s="1205">
        <v>61</v>
      </c>
      <c r="L100" s="1205">
        <v>63.18</v>
      </c>
      <c r="M100" s="1205">
        <v>64.47</v>
      </c>
      <c r="N100" s="1205">
        <v>70.18</v>
      </c>
      <c r="O100" s="1205">
        <v>70.9</v>
      </c>
      <c r="P100" s="1206">
        <v>71.6</v>
      </c>
      <c r="Q100" s="1207"/>
      <c r="R100" s="1088"/>
      <c r="S100" s="1246" t="s">
        <v>206</v>
      </c>
      <c r="T100" s="1247">
        <v>32.04</v>
      </c>
      <c r="U100" s="1247">
        <v>35.73</v>
      </c>
      <c r="V100" s="1247">
        <v>30.2</v>
      </c>
      <c r="W100" s="1247">
        <v>58</v>
      </c>
      <c r="X100" s="1247">
        <v>54</v>
      </c>
      <c r="Y100" s="1247">
        <v>51</v>
      </c>
      <c r="Z100" s="1247">
        <v>51</v>
      </c>
      <c r="AA100" s="1248">
        <v>51</v>
      </c>
    </row>
    <row r="101" spans="1:27" s="1059" customFormat="1" ht="15">
      <c r="A101" s="1050" t="s">
        <v>167</v>
      </c>
      <c r="B101" s="1051" t="s">
        <v>164</v>
      </c>
      <c r="C101" s="1176">
        <v>15.6325</v>
      </c>
      <c r="D101" s="1176">
        <v>13.34</v>
      </c>
      <c r="E101" s="1176">
        <f>13.396+0.724</f>
        <v>14.120000000000001</v>
      </c>
      <c r="F101" s="1176">
        <f>12.421+0.053</f>
        <v>12.474</v>
      </c>
      <c r="G101" s="1176">
        <f>0.02+12.929</f>
        <v>12.949</v>
      </c>
      <c r="H101" s="1176">
        <f>11+0.03+0.06</f>
        <v>11.09</v>
      </c>
      <c r="I101" s="1208">
        <f>11.04</f>
        <v>11.04</v>
      </c>
      <c r="J101" s="1208">
        <v>9.95</v>
      </c>
      <c r="K101" s="1208">
        <v>10.6</v>
      </c>
      <c r="L101" s="1208">
        <v>10.12</v>
      </c>
      <c r="M101" s="1208">
        <v>10.62</v>
      </c>
      <c r="N101" s="1128">
        <v>7.52</v>
      </c>
      <c r="O101" s="1250">
        <v>7.6</v>
      </c>
      <c r="P101" s="1251">
        <v>7.7</v>
      </c>
      <c r="Q101" s="1209"/>
      <c r="R101" s="1088"/>
      <c r="S101" s="1210" t="s">
        <v>272</v>
      </c>
      <c r="T101" s="1076">
        <v>89.1</v>
      </c>
      <c r="U101" s="1076">
        <v>119.3</v>
      </c>
      <c r="V101" s="1076">
        <v>20.5</v>
      </c>
      <c r="W101" s="1076">
        <v>74.4</v>
      </c>
      <c r="X101" s="1076">
        <v>65.2</v>
      </c>
      <c r="Y101" s="1076">
        <v>70</v>
      </c>
      <c r="Z101" s="1076">
        <v>70</v>
      </c>
      <c r="AA101" s="1077">
        <v>70</v>
      </c>
    </row>
    <row r="102" spans="1:32" s="1059" customFormat="1" ht="15">
      <c r="A102" s="1211" t="s">
        <v>168</v>
      </c>
      <c r="B102" s="1212" t="s">
        <v>169</v>
      </c>
      <c r="C102" s="1250">
        <f>97.573+61.513</f>
        <v>159.08599999999998</v>
      </c>
      <c r="D102" s="1250">
        <v>144.6</v>
      </c>
      <c r="E102" s="1250">
        <f>53.658+92.861</f>
        <v>146.519</v>
      </c>
      <c r="F102" s="1250">
        <f>58.455+104.417</f>
        <v>162.872</v>
      </c>
      <c r="G102" s="1250">
        <f>111.751+46.459</f>
        <v>158.21</v>
      </c>
      <c r="H102" s="1250">
        <f>51.1+100.8+8</f>
        <v>159.9</v>
      </c>
      <c r="I102" s="1250">
        <v>133.9</v>
      </c>
      <c r="J102" s="1250">
        <v>135.3</v>
      </c>
      <c r="K102" s="1250">
        <v>125.2</v>
      </c>
      <c r="L102" s="1250">
        <v>124.4</v>
      </c>
      <c r="M102" s="1250">
        <v>126</v>
      </c>
      <c r="N102" s="1250">
        <v>126.8</v>
      </c>
      <c r="O102" s="1250">
        <v>128.1</v>
      </c>
      <c r="P102" s="1251">
        <v>129.4</v>
      </c>
      <c r="Q102" s="1209"/>
      <c r="R102" s="1209"/>
      <c r="S102" s="1210" t="s">
        <v>273</v>
      </c>
      <c r="T102" s="1076">
        <v>48.4</v>
      </c>
      <c r="U102" s="1076">
        <v>25.2</v>
      </c>
      <c r="V102" s="1076">
        <v>23</v>
      </c>
      <c r="W102" s="1076">
        <v>32.6</v>
      </c>
      <c r="X102" s="1076">
        <v>28.2</v>
      </c>
      <c r="Y102" s="1076">
        <v>38.9</v>
      </c>
      <c r="Z102" s="1076">
        <v>40</v>
      </c>
      <c r="AA102" s="1077">
        <v>40</v>
      </c>
      <c r="AB102" s="1213"/>
      <c r="AC102" s="1213"/>
      <c r="AD102" s="1213"/>
      <c r="AE102" s="1213"/>
      <c r="AF102" s="1213"/>
    </row>
    <row r="103" spans="1:27" s="1059" customFormat="1" ht="15">
      <c r="A103" s="1211" t="s">
        <v>170</v>
      </c>
      <c r="B103" s="1212" t="s">
        <v>169</v>
      </c>
      <c r="C103" s="1250">
        <f>84.698+45.037</f>
        <v>129.73499999999999</v>
      </c>
      <c r="D103" s="1250">
        <v>124.7</v>
      </c>
      <c r="E103" s="1250">
        <f>38.439+80.325</f>
        <v>118.76400000000001</v>
      </c>
      <c r="F103" s="1250">
        <f>44.179+92.738</f>
        <v>136.917</v>
      </c>
      <c r="G103" s="1250">
        <f>107.204+37.565</f>
        <v>144.769</v>
      </c>
      <c r="H103" s="1250">
        <f>40.1+96.346</f>
        <v>136.446</v>
      </c>
      <c r="I103" s="1250">
        <v>120.5</v>
      </c>
      <c r="J103" s="1250">
        <v>127.1</v>
      </c>
      <c r="K103" s="1250">
        <v>116.4</v>
      </c>
      <c r="L103" s="1250">
        <v>114.3</v>
      </c>
      <c r="M103" s="1250">
        <v>113.1</v>
      </c>
      <c r="N103" s="1250">
        <v>116.3</v>
      </c>
      <c r="O103" s="1250">
        <v>117.4</v>
      </c>
      <c r="P103" s="1251">
        <v>118.6</v>
      </c>
      <c r="Q103" s="1209"/>
      <c r="R103" s="1088"/>
      <c r="S103" s="1210" t="s">
        <v>208</v>
      </c>
      <c r="T103" s="1076">
        <v>124.4</v>
      </c>
      <c r="U103" s="1076">
        <v>101.7</v>
      </c>
      <c r="V103" s="1076">
        <v>168.2</v>
      </c>
      <c r="W103" s="1076">
        <v>91.5</v>
      </c>
      <c r="X103" s="1076">
        <v>68.2</v>
      </c>
      <c r="Y103" s="1076">
        <v>68.9</v>
      </c>
      <c r="Z103" s="1076">
        <v>70</v>
      </c>
      <c r="AA103" s="1077">
        <v>70</v>
      </c>
    </row>
    <row r="104" spans="1:27" s="1059" customFormat="1" ht="15.75" thickBot="1">
      <c r="A104" s="1050" t="s">
        <v>171</v>
      </c>
      <c r="B104" s="1051" t="s">
        <v>172</v>
      </c>
      <c r="C104" s="1120">
        <f>264+5.7+490+50</f>
        <v>809.7</v>
      </c>
      <c r="D104" s="1214">
        <f>128+470+16.3+130</f>
        <v>744.3</v>
      </c>
      <c r="E104" s="1214">
        <v>793.2</v>
      </c>
      <c r="F104" s="1214">
        <v>837.79</v>
      </c>
      <c r="G104" s="1197">
        <v>1089.505</v>
      </c>
      <c r="H104" s="1197">
        <f>692.8+45.21+165+169</f>
        <v>1072.01</v>
      </c>
      <c r="I104" s="1215">
        <f>611.08+35.796+211.3+190.667</f>
        <v>1048.843</v>
      </c>
      <c r="J104" s="1215">
        <v>1007.06</v>
      </c>
      <c r="K104" s="1215">
        <v>985.849</v>
      </c>
      <c r="L104" s="1215">
        <v>1063.7</v>
      </c>
      <c r="M104" s="1215">
        <v>1140.25</v>
      </c>
      <c r="N104" s="1215">
        <v>935</v>
      </c>
      <c r="O104" s="1215">
        <v>1135</v>
      </c>
      <c r="P104" s="1216">
        <v>1135</v>
      </c>
      <c r="Q104" s="1217"/>
      <c r="R104" s="1088"/>
      <c r="S104" s="1218" t="s">
        <v>200</v>
      </c>
      <c r="T104" s="1219">
        <f aca="true" t="shared" si="17" ref="T104:Y104">T100+T101+T102+T103</f>
        <v>293.94</v>
      </c>
      <c r="U104" s="1219">
        <f t="shared" si="17"/>
        <v>281.93</v>
      </c>
      <c r="V104" s="1219">
        <f t="shared" si="17"/>
        <v>241.89999999999998</v>
      </c>
      <c r="W104" s="1219">
        <f t="shared" si="17"/>
        <v>256.5</v>
      </c>
      <c r="X104" s="1219">
        <f t="shared" si="17"/>
        <v>215.60000000000002</v>
      </c>
      <c r="Y104" s="1219">
        <f t="shared" si="17"/>
        <v>228.8</v>
      </c>
      <c r="Z104" s="1219">
        <f>Z100+Z101+Z102+Z103</f>
        <v>231</v>
      </c>
      <c r="AA104" s="1220">
        <f>AA100+AA101+AA102+AA103</f>
        <v>231</v>
      </c>
    </row>
    <row r="105" spans="1:27" s="1059" customFormat="1" ht="15.75" thickBot="1">
      <c r="A105" s="1050" t="s">
        <v>173</v>
      </c>
      <c r="B105" s="1051" t="s">
        <v>174</v>
      </c>
      <c r="C105" s="1197">
        <f>175+32+50+3</f>
        <v>260</v>
      </c>
      <c r="D105" s="1197">
        <v>230.3</v>
      </c>
      <c r="E105" s="1197">
        <f>242+69+46+52.339</f>
        <v>409.339</v>
      </c>
      <c r="F105" s="1197">
        <v>413.2</v>
      </c>
      <c r="G105" s="1197">
        <v>337</v>
      </c>
      <c r="H105" s="1197">
        <v>275.31</v>
      </c>
      <c r="I105" s="1197">
        <v>293.94</v>
      </c>
      <c r="J105" s="1197">
        <v>282</v>
      </c>
      <c r="K105" s="1197">
        <v>241.9</v>
      </c>
      <c r="L105" s="1197">
        <v>256.5</v>
      </c>
      <c r="M105" s="1197">
        <v>215.6</v>
      </c>
      <c r="N105" s="1197">
        <v>228.8</v>
      </c>
      <c r="O105" s="1197">
        <v>231</v>
      </c>
      <c r="P105" s="1198">
        <v>231</v>
      </c>
      <c r="Q105" s="1221"/>
      <c r="R105" s="1088"/>
      <c r="T105" s="1222">
        <f aca="true" t="shared" si="18" ref="T105:Y105">T104-T100</f>
        <v>261.9</v>
      </c>
      <c r="U105" s="1223">
        <f t="shared" si="18"/>
        <v>246.20000000000002</v>
      </c>
      <c r="V105" s="1223">
        <f t="shared" si="18"/>
        <v>211.7</v>
      </c>
      <c r="W105" s="1223">
        <f t="shared" si="18"/>
        <v>198.5</v>
      </c>
      <c r="X105" s="1223">
        <f t="shared" si="18"/>
        <v>161.60000000000002</v>
      </c>
      <c r="Y105" s="1223">
        <f t="shared" si="18"/>
        <v>177.8</v>
      </c>
      <c r="Z105" s="1223">
        <f>Z104-Z100</f>
        <v>180</v>
      </c>
      <c r="AA105" s="1224">
        <f>AA104-AA100</f>
        <v>180</v>
      </c>
    </row>
    <row r="106" spans="1:18" s="1059" customFormat="1" ht="15">
      <c r="A106" s="1050" t="s">
        <v>175</v>
      </c>
      <c r="B106" s="1051" t="s">
        <v>174</v>
      </c>
      <c r="C106" s="1120" t="s">
        <v>43</v>
      </c>
      <c r="D106" s="1120">
        <v>6</v>
      </c>
      <c r="E106" s="1120">
        <v>59.9</v>
      </c>
      <c r="F106" s="1120">
        <v>54</v>
      </c>
      <c r="G106" s="1120">
        <v>56.1</v>
      </c>
      <c r="H106" s="1120">
        <v>56.4</v>
      </c>
      <c r="I106" s="1120">
        <v>60.7</v>
      </c>
      <c r="J106" s="1120">
        <v>56.4</v>
      </c>
      <c r="K106" s="1120">
        <v>65</v>
      </c>
      <c r="L106" s="1120">
        <v>54.5</v>
      </c>
      <c r="M106" s="1120">
        <v>50</v>
      </c>
      <c r="N106" s="1120">
        <v>50</v>
      </c>
      <c r="O106" s="1120">
        <v>50</v>
      </c>
      <c r="P106" s="1121">
        <v>50</v>
      </c>
      <c r="Q106" s="1072"/>
      <c r="R106" s="1088"/>
    </row>
    <row r="107" spans="1:23" s="1059" customFormat="1" ht="15.75" thickBot="1">
      <c r="A107" s="1252" t="s">
        <v>176</v>
      </c>
      <c r="B107" s="1225" t="s">
        <v>174</v>
      </c>
      <c r="C107" s="1226">
        <f>215.48+82</f>
        <v>297.48</v>
      </c>
      <c r="D107" s="1226">
        <v>282.68</v>
      </c>
      <c r="E107" s="1226">
        <v>267.946</v>
      </c>
      <c r="F107" s="1226">
        <v>247.77</v>
      </c>
      <c r="G107" s="1226">
        <v>244.35</v>
      </c>
      <c r="H107" s="1226">
        <v>236.47</v>
      </c>
      <c r="I107" s="1226">
        <v>239.7</v>
      </c>
      <c r="J107" s="1226">
        <v>250.97</v>
      </c>
      <c r="K107" s="1226">
        <v>243.36</v>
      </c>
      <c r="L107" s="1226">
        <v>246.7</v>
      </c>
      <c r="M107" s="1226">
        <v>244.2</v>
      </c>
      <c r="N107" s="1226">
        <v>253.97</v>
      </c>
      <c r="O107" s="1226">
        <v>253.97</v>
      </c>
      <c r="P107" s="1227">
        <v>253.97</v>
      </c>
      <c r="Q107" s="1221"/>
      <c r="R107" s="1088"/>
      <c r="V107" s="1059">
        <f>224.8/12*9</f>
        <v>168.60000000000002</v>
      </c>
      <c r="W107" s="1059">
        <f>W105/12*9</f>
        <v>148.875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>
      <c r="J122" s="177">
        <f>2039/2756</f>
        <v>0.7398403483309144</v>
      </c>
    </row>
    <row r="123" ht="12.75">
      <c r="J123" s="177">
        <f>2763*0.74</f>
        <v>2044.62</v>
      </c>
    </row>
    <row r="124" ht="12.75"/>
    <row r="125" ht="12.75"/>
    <row r="126" spans="2:256" s="184" customFormat="1" ht="12.75"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  <c r="BF126" s="177"/>
      <c r="BG126" s="177"/>
      <c r="BH126" s="177"/>
      <c r="BI126" s="177"/>
      <c r="BJ126" s="177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177"/>
      <c r="BW126" s="177"/>
      <c r="BX126" s="177"/>
      <c r="BY126" s="177"/>
      <c r="BZ126" s="177"/>
      <c r="CA126" s="177"/>
      <c r="CB126" s="177"/>
      <c r="CC126" s="177"/>
      <c r="CD126" s="177"/>
      <c r="CE126" s="177"/>
      <c r="CF126" s="177"/>
      <c r="CG126" s="177"/>
      <c r="CH126" s="177"/>
      <c r="CI126" s="177"/>
      <c r="CJ126" s="177"/>
      <c r="CK126" s="177"/>
      <c r="CL126" s="177"/>
      <c r="CM126" s="177"/>
      <c r="CN126" s="177"/>
      <c r="CO126" s="177"/>
      <c r="CP126" s="177"/>
      <c r="CQ126" s="177"/>
      <c r="CR126" s="177"/>
      <c r="CS126" s="177"/>
      <c r="CT126" s="177"/>
      <c r="CU126" s="177"/>
      <c r="CV126" s="177"/>
      <c r="CW126" s="177"/>
      <c r="CX126" s="177"/>
      <c r="CY126" s="177"/>
      <c r="CZ126" s="177"/>
      <c r="DA126" s="177"/>
      <c r="DB126" s="177"/>
      <c r="DC126" s="177"/>
      <c r="DD126" s="177"/>
      <c r="DE126" s="177"/>
      <c r="DF126" s="177"/>
      <c r="DG126" s="177"/>
      <c r="DH126" s="177"/>
      <c r="DI126" s="177"/>
      <c r="DJ126" s="177"/>
      <c r="DK126" s="177"/>
      <c r="DL126" s="177"/>
      <c r="DM126" s="177"/>
      <c r="DN126" s="177"/>
      <c r="DO126" s="177"/>
      <c r="DP126" s="177"/>
      <c r="DQ126" s="177"/>
      <c r="DR126" s="177"/>
      <c r="DS126" s="177"/>
      <c r="DT126" s="177"/>
      <c r="DU126" s="177"/>
      <c r="DV126" s="177"/>
      <c r="DW126" s="177"/>
      <c r="DX126" s="177"/>
      <c r="DY126" s="177"/>
      <c r="DZ126" s="177"/>
      <c r="EA126" s="177"/>
      <c r="EB126" s="177"/>
      <c r="EC126" s="177"/>
      <c r="ED126" s="177"/>
      <c r="EE126" s="177"/>
      <c r="EF126" s="177"/>
      <c r="EG126" s="177"/>
      <c r="EH126" s="177"/>
      <c r="EI126" s="177"/>
      <c r="EJ126" s="177"/>
      <c r="EK126" s="177"/>
      <c r="EL126" s="177"/>
      <c r="EM126" s="177"/>
      <c r="EN126" s="177"/>
      <c r="EO126" s="177"/>
      <c r="EP126" s="177"/>
      <c r="EQ126" s="177"/>
      <c r="ER126" s="177"/>
      <c r="ES126" s="177"/>
      <c r="ET126" s="177"/>
      <c r="EU126" s="177"/>
      <c r="EV126" s="177"/>
      <c r="EW126" s="177"/>
      <c r="EX126" s="177"/>
      <c r="EY126" s="177"/>
      <c r="EZ126" s="177"/>
      <c r="FA126" s="177"/>
      <c r="FB126" s="177"/>
      <c r="FC126" s="177"/>
      <c r="FD126" s="177"/>
      <c r="FE126" s="177"/>
      <c r="FF126" s="177"/>
      <c r="FG126" s="177"/>
      <c r="FH126" s="177"/>
      <c r="FI126" s="177"/>
      <c r="FJ126" s="177"/>
      <c r="FK126" s="177"/>
      <c r="FL126" s="177"/>
      <c r="FM126" s="177"/>
      <c r="FN126" s="177"/>
      <c r="FO126" s="177"/>
      <c r="FP126" s="177"/>
      <c r="FQ126" s="177"/>
      <c r="FR126" s="177"/>
      <c r="FS126" s="177"/>
      <c r="FT126" s="177"/>
      <c r="FU126" s="177"/>
      <c r="FV126" s="177"/>
      <c r="FW126" s="177"/>
      <c r="FX126" s="177"/>
      <c r="FY126" s="177"/>
      <c r="FZ126" s="177"/>
      <c r="GA126" s="177"/>
      <c r="GB126" s="177"/>
      <c r="GC126" s="177"/>
      <c r="GD126" s="177"/>
      <c r="GE126" s="177"/>
      <c r="GF126" s="177"/>
      <c r="GG126" s="177"/>
      <c r="GH126" s="177"/>
      <c r="GI126" s="177"/>
      <c r="GJ126" s="177"/>
      <c r="GK126" s="177"/>
      <c r="GL126" s="177"/>
      <c r="GM126" s="177"/>
      <c r="GN126" s="177"/>
      <c r="GO126" s="177"/>
      <c r="GP126" s="177"/>
      <c r="GQ126" s="177"/>
      <c r="GR126" s="177"/>
      <c r="GS126" s="177"/>
      <c r="GT126" s="177"/>
      <c r="GU126" s="177"/>
      <c r="GV126" s="177"/>
      <c r="GW126" s="177"/>
      <c r="GX126" s="177"/>
      <c r="GY126" s="177"/>
      <c r="GZ126" s="177"/>
      <c r="HA126" s="177"/>
      <c r="HB126" s="177"/>
      <c r="HC126" s="177"/>
      <c r="HD126" s="177"/>
      <c r="HE126" s="177"/>
      <c r="HF126" s="177"/>
      <c r="HG126" s="177"/>
      <c r="HH126" s="177"/>
      <c r="HI126" s="177"/>
      <c r="HJ126" s="177"/>
      <c r="HK126" s="177"/>
      <c r="HL126" s="177"/>
      <c r="HM126" s="177"/>
      <c r="HN126" s="177"/>
      <c r="HO126" s="177"/>
      <c r="HP126" s="177"/>
      <c r="HQ126" s="177"/>
      <c r="HR126" s="177"/>
      <c r="HS126" s="177"/>
      <c r="HT126" s="177"/>
      <c r="HU126" s="177"/>
      <c r="HV126" s="177"/>
      <c r="HW126" s="177"/>
      <c r="HX126" s="177"/>
      <c r="HY126" s="177"/>
      <c r="HZ126" s="177"/>
      <c r="IA126" s="177"/>
      <c r="IB126" s="177"/>
      <c r="IC126" s="177"/>
      <c r="ID126" s="177"/>
      <c r="IE126" s="177"/>
      <c r="IF126" s="177"/>
      <c r="IG126" s="177"/>
      <c r="IH126" s="177"/>
      <c r="II126" s="177"/>
      <c r="IJ126" s="177"/>
      <c r="IK126" s="177"/>
      <c r="IL126" s="177"/>
      <c r="IM126" s="177"/>
      <c r="IN126" s="177"/>
      <c r="IO126" s="177"/>
      <c r="IP126" s="177"/>
      <c r="IQ126" s="177"/>
      <c r="IR126" s="177"/>
      <c r="IS126" s="177"/>
      <c r="IT126" s="177"/>
      <c r="IU126" s="177"/>
      <c r="IV126" s="177"/>
    </row>
    <row r="127" spans="2:256" s="184" customFormat="1" ht="12.75"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77"/>
      <c r="CI127" s="177"/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7"/>
      <c r="CV127" s="177"/>
      <c r="CW127" s="177"/>
      <c r="CX127" s="177"/>
      <c r="CY127" s="177"/>
      <c r="CZ127" s="177"/>
      <c r="DA127" s="177"/>
      <c r="DB127" s="177"/>
      <c r="DC127" s="177"/>
      <c r="DD127" s="177"/>
      <c r="DE127" s="177"/>
      <c r="DF127" s="177"/>
      <c r="DG127" s="177"/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7"/>
      <c r="DT127" s="177"/>
      <c r="DU127" s="177"/>
      <c r="DV127" s="177"/>
      <c r="DW127" s="177"/>
      <c r="DX127" s="177"/>
      <c r="DY127" s="177"/>
      <c r="DZ127" s="177"/>
      <c r="EA127" s="177"/>
      <c r="EB127" s="177"/>
      <c r="EC127" s="177"/>
      <c r="ED127" s="177"/>
      <c r="EE127" s="177"/>
      <c r="EF127" s="177"/>
      <c r="EG127" s="177"/>
      <c r="EH127" s="177"/>
      <c r="EI127" s="177"/>
      <c r="EJ127" s="177"/>
      <c r="EK127" s="177"/>
      <c r="EL127" s="177"/>
      <c r="EM127" s="177"/>
      <c r="EN127" s="177"/>
      <c r="EO127" s="177"/>
      <c r="EP127" s="177"/>
      <c r="EQ127" s="177"/>
      <c r="ER127" s="177"/>
      <c r="ES127" s="177"/>
      <c r="ET127" s="177"/>
      <c r="EU127" s="177"/>
      <c r="EV127" s="177"/>
      <c r="EW127" s="177"/>
      <c r="EX127" s="177"/>
      <c r="EY127" s="177"/>
      <c r="EZ127" s="177"/>
      <c r="FA127" s="177"/>
      <c r="FB127" s="177"/>
      <c r="FC127" s="177"/>
      <c r="FD127" s="177"/>
      <c r="FE127" s="177"/>
      <c r="FF127" s="177"/>
      <c r="FG127" s="177"/>
      <c r="FH127" s="177"/>
      <c r="FI127" s="177"/>
      <c r="FJ127" s="177"/>
      <c r="FK127" s="177"/>
      <c r="FL127" s="177"/>
      <c r="FM127" s="177"/>
      <c r="FN127" s="177"/>
      <c r="FO127" s="177"/>
      <c r="FP127" s="177"/>
      <c r="FQ127" s="177"/>
      <c r="FR127" s="177"/>
      <c r="FS127" s="177"/>
      <c r="FT127" s="177"/>
      <c r="FU127" s="177"/>
      <c r="FV127" s="177"/>
      <c r="FW127" s="177"/>
      <c r="FX127" s="177"/>
      <c r="FY127" s="177"/>
      <c r="FZ127" s="177"/>
      <c r="GA127" s="177"/>
      <c r="GB127" s="177"/>
      <c r="GC127" s="177"/>
      <c r="GD127" s="177"/>
      <c r="GE127" s="177"/>
      <c r="GF127" s="177"/>
      <c r="GG127" s="177"/>
      <c r="GH127" s="177"/>
      <c r="GI127" s="177"/>
      <c r="GJ127" s="177"/>
      <c r="GK127" s="177"/>
      <c r="GL127" s="177"/>
      <c r="GM127" s="177"/>
      <c r="GN127" s="177"/>
      <c r="GO127" s="177"/>
      <c r="GP127" s="177"/>
      <c r="GQ127" s="177"/>
      <c r="GR127" s="177"/>
      <c r="GS127" s="177"/>
      <c r="GT127" s="177"/>
      <c r="GU127" s="177"/>
      <c r="GV127" s="177"/>
      <c r="GW127" s="177"/>
      <c r="GX127" s="177"/>
      <c r="GY127" s="177"/>
      <c r="GZ127" s="177"/>
      <c r="HA127" s="177"/>
      <c r="HB127" s="177"/>
      <c r="HC127" s="177"/>
      <c r="HD127" s="177"/>
      <c r="HE127" s="177"/>
      <c r="HF127" s="177"/>
      <c r="HG127" s="177"/>
      <c r="HH127" s="177"/>
      <c r="HI127" s="177"/>
      <c r="HJ127" s="177"/>
      <c r="HK127" s="177"/>
      <c r="HL127" s="177"/>
      <c r="HM127" s="177"/>
      <c r="HN127" s="177"/>
      <c r="HO127" s="177"/>
      <c r="HP127" s="177"/>
      <c r="HQ127" s="177"/>
      <c r="HR127" s="177"/>
      <c r="HS127" s="177"/>
      <c r="HT127" s="177"/>
      <c r="HU127" s="177"/>
      <c r="HV127" s="177"/>
      <c r="HW127" s="177"/>
      <c r="HX127" s="177"/>
      <c r="HY127" s="177"/>
      <c r="HZ127" s="177"/>
      <c r="IA127" s="177"/>
      <c r="IB127" s="177"/>
      <c r="IC127" s="177"/>
      <c r="ID127" s="177"/>
      <c r="IE127" s="177"/>
      <c r="IF127" s="177"/>
      <c r="IG127" s="177"/>
      <c r="IH127" s="177"/>
      <c r="II127" s="177"/>
      <c r="IJ127" s="177"/>
      <c r="IK127" s="177"/>
      <c r="IL127" s="177"/>
      <c r="IM127" s="177"/>
      <c r="IN127" s="177"/>
      <c r="IO127" s="177"/>
      <c r="IP127" s="177"/>
      <c r="IQ127" s="177"/>
      <c r="IR127" s="177"/>
      <c r="IS127" s="177"/>
      <c r="IT127" s="177"/>
      <c r="IU127" s="177"/>
      <c r="IV127" s="177"/>
    </row>
    <row r="128" spans="2:256" s="184" customFormat="1" ht="12.75"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77"/>
      <c r="BV128" s="177"/>
      <c r="BW128" s="177"/>
      <c r="BX128" s="177"/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  <c r="CR128" s="177"/>
      <c r="CS128" s="177"/>
      <c r="CT128" s="177"/>
      <c r="CU128" s="177"/>
      <c r="CV128" s="177"/>
      <c r="CW128" s="177"/>
      <c r="CX128" s="177"/>
      <c r="CY128" s="177"/>
      <c r="CZ128" s="177"/>
      <c r="DA128" s="177"/>
      <c r="DB128" s="177"/>
      <c r="DC128" s="177"/>
      <c r="DD128" s="177"/>
      <c r="DE128" s="177"/>
      <c r="DF128" s="177"/>
      <c r="DG128" s="177"/>
      <c r="DH128" s="177"/>
      <c r="DI128" s="177"/>
      <c r="DJ128" s="177"/>
      <c r="DK128" s="177"/>
      <c r="DL128" s="177"/>
      <c r="DM128" s="177"/>
      <c r="DN128" s="177"/>
      <c r="DO128" s="177"/>
      <c r="DP128" s="177"/>
      <c r="DQ128" s="177"/>
      <c r="DR128" s="177"/>
      <c r="DS128" s="177"/>
      <c r="DT128" s="177"/>
      <c r="DU128" s="177"/>
      <c r="DV128" s="177"/>
      <c r="DW128" s="177"/>
      <c r="DX128" s="177"/>
      <c r="DY128" s="177"/>
      <c r="DZ128" s="177"/>
      <c r="EA128" s="177"/>
      <c r="EB128" s="177"/>
      <c r="EC128" s="177"/>
      <c r="ED128" s="177"/>
      <c r="EE128" s="177"/>
      <c r="EF128" s="177"/>
      <c r="EG128" s="177"/>
      <c r="EH128" s="177"/>
      <c r="EI128" s="177"/>
      <c r="EJ128" s="177"/>
      <c r="EK128" s="177"/>
      <c r="EL128" s="177"/>
      <c r="EM128" s="177"/>
      <c r="EN128" s="177"/>
      <c r="EO128" s="177"/>
      <c r="EP128" s="177"/>
      <c r="EQ128" s="177"/>
      <c r="ER128" s="177"/>
      <c r="ES128" s="177"/>
      <c r="ET128" s="177"/>
      <c r="EU128" s="177"/>
      <c r="EV128" s="177"/>
      <c r="EW128" s="177"/>
      <c r="EX128" s="177"/>
      <c r="EY128" s="177"/>
      <c r="EZ128" s="177"/>
      <c r="FA128" s="177"/>
      <c r="FB128" s="177"/>
      <c r="FC128" s="177"/>
      <c r="FD128" s="177"/>
      <c r="FE128" s="177"/>
      <c r="FF128" s="177"/>
      <c r="FG128" s="177"/>
      <c r="FH128" s="177"/>
      <c r="FI128" s="177"/>
      <c r="FJ128" s="177"/>
      <c r="FK128" s="177"/>
      <c r="FL128" s="177"/>
      <c r="FM128" s="177"/>
      <c r="FN128" s="177"/>
      <c r="FO128" s="177"/>
      <c r="FP128" s="177"/>
      <c r="FQ128" s="177"/>
      <c r="FR128" s="177"/>
      <c r="FS128" s="177"/>
      <c r="FT128" s="177"/>
      <c r="FU128" s="177"/>
      <c r="FV128" s="177"/>
      <c r="FW128" s="177"/>
      <c r="FX128" s="177"/>
      <c r="FY128" s="177"/>
      <c r="FZ128" s="177"/>
      <c r="GA128" s="177"/>
      <c r="GB128" s="177"/>
      <c r="GC128" s="177"/>
      <c r="GD128" s="177"/>
      <c r="GE128" s="177"/>
      <c r="GF128" s="177"/>
      <c r="GG128" s="177"/>
      <c r="GH128" s="177"/>
      <c r="GI128" s="177"/>
      <c r="GJ128" s="177"/>
      <c r="GK128" s="177"/>
      <c r="GL128" s="177"/>
      <c r="GM128" s="177"/>
      <c r="GN128" s="177"/>
      <c r="GO128" s="177"/>
      <c r="GP128" s="177"/>
      <c r="GQ128" s="177"/>
      <c r="GR128" s="177"/>
      <c r="GS128" s="177"/>
      <c r="GT128" s="177"/>
      <c r="GU128" s="177"/>
      <c r="GV128" s="177"/>
      <c r="GW128" s="177"/>
      <c r="GX128" s="177"/>
      <c r="GY128" s="177"/>
      <c r="GZ128" s="177"/>
      <c r="HA128" s="177"/>
      <c r="HB128" s="177"/>
      <c r="HC128" s="177"/>
      <c r="HD128" s="177"/>
      <c r="HE128" s="177"/>
      <c r="HF128" s="177"/>
      <c r="HG128" s="177"/>
      <c r="HH128" s="177"/>
      <c r="HI128" s="177"/>
      <c r="HJ128" s="177"/>
      <c r="HK128" s="177"/>
      <c r="HL128" s="177"/>
      <c r="HM128" s="177"/>
      <c r="HN128" s="177"/>
      <c r="HO128" s="177"/>
      <c r="HP128" s="177"/>
      <c r="HQ128" s="177"/>
      <c r="HR128" s="177"/>
      <c r="HS128" s="177"/>
      <c r="HT128" s="177"/>
      <c r="HU128" s="177"/>
      <c r="HV128" s="177"/>
      <c r="HW128" s="177"/>
      <c r="HX128" s="177"/>
      <c r="HY128" s="177"/>
      <c r="HZ128" s="177"/>
      <c r="IA128" s="177"/>
      <c r="IB128" s="177"/>
      <c r="IC128" s="177"/>
      <c r="ID128" s="177"/>
      <c r="IE128" s="177"/>
      <c r="IF128" s="177"/>
      <c r="IG128" s="177"/>
      <c r="IH128" s="177"/>
      <c r="II128" s="177"/>
      <c r="IJ128" s="177"/>
      <c r="IK128" s="177"/>
      <c r="IL128" s="177"/>
      <c r="IM128" s="177"/>
      <c r="IN128" s="177"/>
      <c r="IO128" s="177"/>
      <c r="IP128" s="177"/>
      <c r="IQ128" s="177"/>
      <c r="IR128" s="177"/>
      <c r="IS128" s="177"/>
      <c r="IT128" s="177"/>
      <c r="IU128" s="177"/>
      <c r="IV128" s="177"/>
    </row>
    <row r="129" spans="2:256" s="184" customFormat="1" ht="12.75"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/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/>
      <c r="CS129" s="177"/>
      <c r="CT129" s="177"/>
      <c r="CU129" s="177"/>
      <c r="CV129" s="177"/>
      <c r="CW129" s="177"/>
      <c r="CX129" s="177"/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/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/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/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/>
      <c r="EM129" s="177"/>
      <c r="EN129" s="177"/>
      <c r="EO129" s="177"/>
      <c r="EP129" s="177"/>
      <c r="EQ129" s="177"/>
      <c r="ER129" s="177"/>
      <c r="ES129" s="177"/>
      <c r="ET129" s="177"/>
      <c r="EU129" s="177"/>
      <c r="EV129" s="177"/>
      <c r="EW129" s="177"/>
      <c r="EX129" s="177"/>
      <c r="EY129" s="177"/>
      <c r="EZ129" s="177"/>
      <c r="FA129" s="177"/>
      <c r="FB129" s="177"/>
      <c r="FC129" s="177"/>
      <c r="FD129" s="177"/>
      <c r="FE129" s="177"/>
      <c r="FF129" s="177"/>
      <c r="FG129" s="177"/>
      <c r="FH129" s="177"/>
      <c r="FI129" s="177"/>
      <c r="FJ129" s="177"/>
      <c r="FK129" s="177"/>
      <c r="FL129" s="177"/>
      <c r="FM129" s="177"/>
      <c r="FN129" s="177"/>
      <c r="FO129" s="177"/>
      <c r="FP129" s="177"/>
      <c r="FQ129" s="177"/>
      <c r="FR129" s="177"/>
      <c r="FS129" s="177"/>
      <c r="FT129" s="177"/>
      <c r="FU129" s="177"/>
      <c r="FV129" s="177"/>
      <c r="FW129" s="177"/>
      <c r="FX129" s="177"/>
      <c r="FY129" s="177"/>
      <c r="FZ129" s="177"/>
      <c r="GA129" s="177"/>
      <c r="GB129" s="177"/>
      <c r="GC129" s="177"/>
      <c r="GD129" s="177"/>
      <c r="GE129" s="177"/>
      <c r="GF129" s="177"/>
      <c r="GG129" s="177"/>
      <c r="GH129" s="177"/>
      <c r="GI129" s="177"/>
      <c r="GJ129" s="177"/>
      <c r="GK129" s="177"/>
      <c r="GL129" s="177"/>
      <c r="GM129" s="177"/>
      <c r="GN129" s="177"/>
      <c r="GO129" s="177"/>
      <c r="GP129" s="177"/>
      <c r="GQ129" s="177"/>
      <c r="GR129" s="177"/>
      <c r="GS129" s="177"/>
      <c r="GT129" s="177"/>
      <c r="GU129" s="177"/>
      <c r="GV129" s="177"/>
      <c r="GW129" s="177"/>
      <c r="GX129" s="177"/>
      <c r="GY129" s="177"/>
      <c r="GZ129" s="177"/>
      <c r="HA129" s="177"/>
      <c r="HB129" s="177"/>
      <c r="HC129" s="177"/>
      <c r="HD129" s="177"/>
      <c r="HE129" s="177"/>
      <c r="HF129" s="177"/>
      <c r="HG129" s="177"/>
      <c r="HH129" s="177"/>
      <c r="HI129" s="177"/>
      <c r="HJ129" s="177"/>
      <c r="HK129" s="177"/>
      <c r="HL129" s="177"/>
      <c r="HM129" s="177"/>
      <c r="HN129" s="177"/>
      <c r="HO129" s="177"/>
      <c r="HP129" s="177"/>
      <c r="HQ129" s="177"/>
      <c r="HR129" s="177"/>
      <c r="HS129" s="177"/>
      <c r="HT129" s="177"/>
      <c r="HU129" s="177"/>
      <c r="HV129" s="177"/>
      <c r="HW129" s="177"/>
      <c r="HX129" s="177"/>
      <c r="HY129" s="177"/>
      <c r="HZ129" s="177"/>
      <c r="IA129" s="177"/>
      <c r="IB129" s="177"/>
      <c r="IC129" s="177"/>
      <c r="ID129" s="177"/>
      <c r="IE129" s="177"/>
      <c r="IF129" s="177"/>
      <c r="IG129" s="177"/>
      <c r="IH129" s="177"/>
      <c r="II129" s="177"/>
      <c r="IJ129" s="177"/>
      <c r="IK129" s="177"/>
      <c r="IL129" s="177"/>
      <c r="IM129" s="177"/>
      <c r="IN129" s="177"/>
      <c r="IO129" s="177"/>
      <c r="IP129" s="177"/>
      <c r="IQ129" s="177"/>
      <c r="IR129" s="177"/>
      <c r="IS129" s="177"/>
      <c r="IT129" s="177"/>
      <c r="IU129" s="177"/>
      <c r="IV129" s="177"/>
    </row>
    <row r="130" spans="2:256" s="184" customFormat="1" ht="12.75"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7"/>
      <c r="CA130" s="177"/>
      <c r="CB130" s="177"/>
      <c r="CC130" s="177"/>
      <c r="CD130" s="177"/>
      <c r="CE130" s="177"/>
      <c r="CF130" s="177"/>
      <c r="CG130" s="177"/>
      <c r="CH130" s="177"/>
      <c r="CI130" s="177"/>
      <c r="CJ130" s="177"/>
      <c r="CK130" s="177"/>
      <c r="CL130" s="177"/>
      <c r="CM130" s="177"/>
      <c r="CN130" s="177"/>
      <c r="CO130" s="177"/>
      <c r="CP130" s="177"/>
      <c r="CQ130" s="177"/>
      <c r="CR130" s="177"/>
      <c r="CS130" s="177"/>
      <c r="CT130" s="177"/>
      <c r="CU130" s="177"/>
      <c r="CV130" s="177"/>
      <c r="CW130" s="177"/>
      <c r="CX130" s="177"/>
      <c r="CY130" s="177"/>
      <c r="CZ130" s="177"/>
      <c r="DA130" s="177"/>
      <c r="DB130" s="177"/>
      <c r="DC130" s="177"/>
      <c r="DD130" s="177"/>
      <c r="DE130" s="177"/>
      <c r="DF130" s="177"/>
      <c r="DG130" s="177"/>
      <c r="DH130" s="177"/>
      <c r="DI130" s="177"/>
      <c r="DJ130" s="177"/>
      <c r="DK130" s="177"/>
      <c r="DL130" s="177"/>
      <c r="DM130" s="177"/>
      <c r="DN130" s="177"/>
      <c r="DO130" s="177"/>
      <c r="DP130" s="177"/>
      <c r="DQ130" s="177"/>
      <c r="DR130" s="177"/>
      <c r="DS130" s="177"/>
      <c r="DT130" s="177"/>
      <c r="DU130" s="177"/>
      <c r="DV130" s="177"/>
      <c r="DW130" s="177"/>
      <c r="DX130" s="177"/>
      <c r="DY130" s="177"/>
      <c r="DZ130" s="177"/>
      <c r="EA130" s="177"/>
      <c r="EB130" s="177"/>
      <c r="EC130" s="177"/>
      <c r="ED130" s="177"/>
      <c r="EE130" s="177"/>
      <c r="EF130" s="177"/>
      <c r="EG130" s="177"/>
      <c r="EH130" s="177"/>
      <c r="EI130" s="177"/>
      <c r="EJ130" s="177"/>
      <c r="EK130" s="177"/>
      <c r="EL130" s="177"/>
      <c r="EM130" s="177"/>
      <c r="EN130" s="177"/>
      <c r="EO130" s="177"/>
      <c r="EP130" s="177"/>
      <c r="EQ130" s="177"/>
      <c r="ER130" s="177"/>
      <c r="ES130" s="177"/>
      <c r="ET130" s="177"/>
      <c r="EU130" s="177"/>
      <c r="EV130" s="177"/>
      <c r="EW130" s="177"/>
      <c r="EX130" s="177"/>
      <c r="EY130" s="177"/>
      <c r="EZ130" s="177"/>
      <c r="FA130" s="177"/>
      <c r="FB130" s="177"/>
      <c r="FC130" s="177"/>
      <c r="FD130" s="177"/>
      <c r="FE130" s="177"/>
      <c r="FF130" s="177"/>
      <c r="FG130" s="177"/>
      <c r="FH130" s="177"/>
      <c r="FI130" s="177"/>
      <c r="FJ130" s="177"/>
      <c r="FK130" s="177"/>
      <c r="FL130" s="177"/>
      <c r="FM130" s="177"/>
      <c r="FN130" s="177"/>
      <c r="FO130" s="177"/>
      <c r="FP130" s="177"/>
      <c r="FQ130" s="177"/>
      <c r="FR130" s="177"/>
      <c r="FS130" s="177"/>
      <c r="FT130" s="177"/>
      <c r="FU130" s="177"/>
      <c r="FV130" s="177"/>
      <c r="FW130" s="177"/>
      <c r="FX130" s="177"/>
      <c r="FY130" s="177"/>
      <c r="FZ130" s="177"/>
      <c r="GA130" s="177"/>
      <c r="GB130" s="177"/>
      <c r="GC130" s="177"/>
      <c r="GD130" s="177"/>
      <c r="GE130" s="177"/>
      <c r="GF130" s="177"/>
      <c r="GG130" s="177"/>
      <c r="GH130" s="177"/>
      <c r="GI130" s="177"/>
      <c r="GJ130" s="177"/>
      <c r="GK130" s="177"/>
      <c r="GL130" s="177"/>
      <c r="GM130" s="177"/>
      <c r="GN130" s="177"/>
      <c r="GO130" s="177"/>
      <c r="GP130" s="177"/>
      <c r="GQ130" s="177"/>
      <c r="GR130" s="177"/>
      <c r="GS130" s="177"/>
      <c r="GT130" s="177"/>
      <c r="GU130" s="177"/>
      <c r="GV130" s="177"/>
      <c r="GW130" s="177"/>
      <c r="GX130" s="177"/>
      <c r="GY130" s="177"/>
      <c r="GZ130" s="177"/>
      <c r="HA130" s="177"/>
      <c r="HB130" s="177"/>
      <c r="HC130" s="177"/>
      <c r="HD130" s="177"/>
      <c r="HE130" s="177"/>
      <c r="HF130" s="177"/>
      <c r="HG130" s="177"/>
      <c r="HH130" s="177"/>
      <c r="HI130" s="177"/>
      <c r="HJ130" s="177"/>
      <c r="HK130" s="177"/>
      <c r="HL130" s="177"/>
      <c r="HM130" s="177"/>
      <c r="HN130" s="177"/>
      <c r="HO130" s="177"/>
      <c r="HP130" s="177"/>
      <c r="HQ130" s="177"/>
      <c r="HR130" s="177"/>
      <c r="HS130" s="177"/>
      <c r="HT130" s="177"/>
      <c r="HU130" s="177"/>
      <c r="HV130" s="177"/>
      <c r="HW130" s="177"/>
      <c r="HX130" s="177"/>
      <c r="HY130" s="177"/>
      <c r="HZ130" s="177"/>
      <c r="IA130" s="177"/>
      <c r="IB130" s="177"/>
      <c r="IC130" s="177"/>
      <c r="ID130" s="177"/>
      <c r="IE130" s="177"/>
      <c r="IF130" s="177"/>
      <c r="IG130" s="177"/>
      <c r="IH130" s="177"/>
      <c r="II130" s="177"/>
      <c r="IJ130" s="177"/>
      <c r="IK130" s="177"/>
      <c r="IL130" s="177"/>
      <c r="IM130" s="177"/>
      <c r="IN130" s="177"/>
      <c r="IO130" s="177"/>
      <c r="IP130" s="177"/>
      <c r="IQ130" s="177"/>
      <c r="IR130" s="177"/>
      <c r="IS130" s="177"/>
      <c r="IT130" s="177"/>
      <c r="IU130" s="177"/>
      <c r="IV130" s="177"/>
    </row>
    <row r="131" spans="2:256" s="184" customFormat="1" ht="12.75"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7"/>
      <c r="CY131" s="177"/>
      <c r="CZ131" s="177"/>
      <c r="DA131" s="177"/>
      <c r="DB131" s="177"/>
      <c r="DC131" s="177"/>
      <c r="DD131" s="177"/>
      <c r="DE131" s="177"/>
      <c r="DF131" s="177"/>
      <c r="DG131" s="177"/>
      <c r="DH131" s="177"/>
      <c r="DI131" s="177"/>
      <c r="DJ131" s="177"/>
      <c r="DK131" s="177"/>
      <c r="DL131" s="177"/>
      <c r="DM131" s="177"/>
      <c r="DN131" s="177"/>
      <c r="DO131" s="177"/>
      <c r="DP131" s="177"/>
      <c r="DQ131" s="177"/>
      <c r="DR131" s="177"/>
      <c r="DS131" s="177"/>
      <c r="DT131" s="177"/>
      <c r="DU131" s="177"/>
      <c r="DV131" s="177"/>
      <c r="DW131" s="177"/>
      <c r="DX131" s="177"/>
      <c r="DY131" s="177"/>
      <c r="DZ131" s="177"/>
      <c r="EA131" s="177"/>
      <c r="EB131" s="177"/>
      <c r="EC131" s="177"/>
      <c r="ED131" s="177"/>
      <c r="EE131" s="177"/>
      <c r="EF131" s="177"/>
      <c r="EG131" s="177"/>
      <c r="EH131" s="177"/>
      <c r="EI131" s="177"/>
      <c r="EJ131" s="177"/>
      <c r="EK131" s="177"/>
      <c r="EL131" s="177"/>
      <c r="EM131" s="177"/>
      <c r="EN131" s="177"/>
      <c r="EO131" s="177"/>
      <c r="EP131" s="177"/>
      <c r="EQ131" s="177"/>
      <c r="ER131" s="177"/>
      <c r="ES131" s="177"/>
      <c r="ET131" s="177"/>
      <c r="EU131" s="177"/>
      <c r="EV131" s="177"/>
      <c r="EW131" s="177"/>
      <c r="EX131" s="177"/>
      <c r="EY131" s="177"/>
      <c r="EZ131" s="177"/>
      <c r="FA131" s="177"/>
      <c r="FB131" s="177"/>
      <c r="FC131" s="177"/>
      <c r="FD131" s="177"/>
      <c r="FE131" s="177"/>
      <c r="FF131" s="177"/>
      <c r="FG131" s="177"/>
      <c r="FH131" s="177"/>
      <c r="FI131" s="177"/>
      <c r="FJ131" s="177"/>
      <c r="FK131" s="177"/>
      <c r="FL131" s="177"/>
      <c r="FM131" s="177"/>
      <c r="FN131" s="177"/>
      <c r="FO131" s="177"/>
      <c r="FP131" s="177"/>
      <c r="FQ131" s="177"/>
      <c r="FR131" s="177"/>
      <c r="FS131" s="177"/>
      <c r="FT131" s="177"/>
      <c r="FU131" s="177"/>
      <c r="FV131" s="177"/>
      <c r="FW131" s="177"/>
      <c r="FX131" s="177"/>
      <c r="FY131" s="177"/>
      <c r="FZ131" s="177"/>
      <c r="GA131" s="177"/>
      <c r="GB131" s="177"/>
      <c r="GC131" s="177"/>
      <c r="GD131" s="177"/>
      <c r="GE131" s="177"/>
      <c r="GF131" s="177"/>
      <c r="GG131" s="177"/>
      <c r="GH131" s="177"/>
      <c r="GI131" s="177"/>
      <c r="GJ131" s="177"/>
      <c r="GK131" s="177"/>
      <c r="GL131" s="177"/>
      <c r="GM131" s="177"/>
      <c r="GN131" s="177"/>
      <c r="GO131" s="177"/>
      <c r="GP131" s="177"/>
      <c r="GQ131" s="177"/>
      <c r="GR131" s="177"/>
      <c r="GS131" s="177"/>
      <c r="GT131" s="177"/>
      <c r="GU131" s="177"/>
      <c r="GV131" s="177"/>
      <c r="GW131" s="177"/>
      <c r="GX131" s="177"/>
      <c r="GY131" s="177"/>
      <c r="GZ131" s="177"/>
      <c r="HA131" s="177"/>
      <c r="HB131" s="177"/>
      <c r="HC131" s="177"/>
      <c r="HD131" s="177"/>
      <c r="HE131" s="177"/>
      <c r="HF131" s="177"/>
      <c r="HG131" s="177"/>
      <c r="HH131" s="177"/>
      <c r="HI131" s="177"/>
      <c r="HJ131" s="177"/>
      <c r="HK131" s="177"/>
      <c r="HL131" s="177"/>
      <c r="HM131" s="177"/>
      <c r="HN131" s="177"/>
      <c r="HO131" s="177"/>
      <c r="HP131" s="177"/>
      <c r="HQ131" s="177"/>
      <c r="HR131" s="177"/>
      <c r="HS131" s="177"/>
      <c r="HT131" s="177"/>
      <c r="HU131" s="177"/>
      <c r="HV131" s="177"/>
      <c r="HW131" s="177"/>
      <c r="HX131" s="177"/>
      <c r="HY131" s="177"/>
      <c r="HZ131" s="177"/>
      <c r="IA131" s="177"/>
      <c r="IB131" s="177"/>
      <c r="IC131" s="177"/>
      <c r="ID131" s="177"/>
      <c r="IE131" s="177"/>
      <c r="IF131" s="177"/>
      <c r="IG131" s="177"/>
      <c r="IH131" s="177"/>
      <c r="II131" s="177"/>
      <c r="IJ131" s="177"/>
      <c r="IK131" s="177"/>
      <c r="IL131" s="177"/>
      <c r="IM131" s="177"/>
      <c r="IN131" s="177"/>
      <c r="IO131" s="177"/>
      <c r="IP131" s="177"/>
      <c r="IQ131" s="177"/>
      <c r="IR131" s="177"/>
      <c r="IS131" s="177"/>
      <c r="IT131" s="177"/>
      <c r="IU131" s="177"/>
      <c r="IV131" s="177"/>
    </row>
  </sheetData>
  <sheetProtection/>
  <mergeCells count="38">
    <mergeCell ref="S98:AA98"/>
    <mergeCell ref="A99:P99"/>
    <mergeCell ref="A19:P19"/>
    <mergeCell ref="A21:P21"/>
    <mergeCell ref="A7:B7"/>
    <mergeCell ref="A9:B9"/>
    <mergeCell ref="A14:B14"/>
    <mergeCell ref="A18:B18"/>
    <mergeCell ref="A81:P81"/>
    <mergeCell ref="A88:P88"/>
    <mergeCell ref="A97:P97"/>
    <mergeCell ref="A74:P74"/>
    <mergeCell ref="A27:B27"/>
    <mergeCell ref="A30:B30"/>
    <mergeCell ref="A32:B32"/>
    <mergeCell ref="A37:P37"/>
    <mergeCell ref="A39:B39"/>
    <mergeCell ref="A40:P40"/>
    <mergeCell ref="A55:P55"/>
    <mergeCell ref="A59:P59"/>
    <mergeCell ref="A61:O61"/>
    <mergeCell ref="A72:P72"/>
    <mergeCell ref="A45:P45"/>
    <mergeCell ref="A47:P47"/>
    <mergeCell ref="A25:P25"/>
    <mergeCell ref="A28:P28"/>
    <mergeCell ref="A34:P34"/>
    <mergeCell ref="A43:P43"/>
    <mergeCell ref="A12:P12"/>
    <mergeCell ref="A15:P15"/>
    <mergeCell ref="A16:P16"/>
    <mergeCell ref="A2:P2"/>
    <mergeCell ref="A3:A4"/>
    <mergeCell ref="B3:B4"/>
    <mergeCell ref="N3:P3"/>
    <mergeCell ref="A5:P5"/>
    <mergeCell ref="AW2:BA2"/>
    <mergeCell ref="A11:P11"/>
  </mergeCells>
  <printOptions horizontalCentered="1"/>
  <pageMargins left="0.2362204724409449" right="0" top="0.2755905511811024" bottom="0.2755905511811024" header="0" footer="0"/>
  <pageSetup fitToHeight="4" fitToWidth="1" horizontalDpi="600" verticalDpi="600" orientation="landscape" paperSize="9" scale="82" r:id="rId3"/>
  <rowBreaks count="2" manualBreakCount="2">
    <brk id="60" max="15" man="1"/>
    <brk id="91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0"/>
  <sheetViews>
    <sheetView zoomScalePageLayoutView="0" workbookViewId="0" topLeftCell="A3">
      <selection activeCell="A3" sqref="A3:P3"/>
    </sheetView>
  </sheetViews>
  <sheetFormatPr defaultColWidth="9.00390625" defaultRowHeight="12.75"/>
  <cols>
    <col min="1" max="1" width="27.125" style="543" customWidth="1"/>
    <col min="2" max="5" width="13.625" style="543" customWidth="1"/>
    <col min="6" max="6" width="12.625" style="543" customWidth="1"/>
    <col min="7" max="11" width="13.625" style="543" customWidth="1"/>
    <col min="12" max="16384" width="9.125" style="543" customWidth="1"/>
  </cols>
  <sheetData>
    <row r="1" spans="1:11" ht="18.75">
      <c r="A1" s="1429" t="s">
        <v>420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</row>
    <row r="2" ht="16.5" thickBot="1"/>
    <row r="3" spans="1:11" ht="16.5" thickBot="1">
      <c r="A3" s="1430"/>
      <c r="B3" s="1432" t="s">
        <v>419</v>
      </c>
      <c r="C3" s="1433"/>
      <c r="D3" s="1434"/>
      <c r="E3" s="1432" t="s">
        <v>413</v>
      </c>
      <c r="F3" s="1433"/>
      <c r="G3" s="1434"/>
      <c r="H3" s="1435" t="s">
        <v>414</v>
      </c>
      <c r="I3" s="1436"/>
      <c r="J3" s="1436"/>
      <c r="K3" s="1437"/>
    </row>
    <row r="4" spans="1:11" ht="37.5" customHeight="1">
      <c r="A4" s="1431"/>
      <c r="B4" s="1419" t="s">
        <v>387</v>
      </c>
      <c r="C4" s="1421" t="s">
        <v>368</v>
      </c>
      <c r="D4" s="1422"/>
      <c r="E4" s="1419" t="s">
        <v>415</v>
      </c>
      <c r="F4" s="1421" t="s">
        <v>368</v>
      </c>
      <c r="G4" s="1422"/>
      <c r="H4" s="1419" t="s">
        <v>388</v>
      </c>
      <c r="I4" s="1421" t="s">
        <v>368</v>
      </c>
      <c r="J4" s="1422"/>
      <c r="K4" s="1423" t="s">
        <v>416</v>
      </c>
    </row>
    <row r="5" spans="1:11" ht="39" customHeight="1" thickBot="1">
      <c r="A5" s="1431"/>
      <c r="B5" s="1420"/>
      <c r="C5" s="544" t="s">
        <v>240</v>
      </c>
      <c r="D5" s="545" t="s">
        <v>174</v>
      </c>
      <c r="E5" s="1420"/>
      <c r="F5" s="544" t="s">
        <v>240</v>
      </c>
      <c r="G5" s="545" t="s">
        <v>174</v>
      </c>
      <c r="H5" s="1420"/>
      <c r="I5" s="544" t="s">
        <v>240</v>
      </c>
      <c r="J5" s="545" t="s">
        <v>174</v>
      </c>
      <c r="K5" s="1424"/>
    </row>
    <row r="6" spans="1:13" ht="15.75">
      <c r="A6" s="546" t="s">
        <v>257</v>
      </c>
      <c r="B6" s="642">
        <v>9176</v>
      </c>
      <c r="C6" s="899">
        <v>921</v>
      </c>
      <c r="D6" s="868">
        <v>32.6</v>
      </c>
      <c r="E6" s="900">
        <v>10076</v>
      </c>
      <c r="F6" s="643">
        <v>797</v>
      </c>
      <c r="G6" s="652">
        <f>F6*0.0354</f>
        <v>28.2138</v>
      </c>
      <c r="H6" s="642">
        <v>10200</v>
      </c>
      <c r="I6" s="643">
        <v>1100</v>
      </c>
      <c r="J6" s="656">
        <f>I6*0.0354-0.04</f>
        <v>38.9</v>
      </c>
      <c r="K6" s="644">
        <v>9980</v>
      </c>
      <c r="M6" s="543">
        <f>D6/C6</f>
        <v>0.035396308360477746</v>
      </c>
    </row>
    <row r="7" spans="1:13" ht="15.75">
      <c r="A7" s="546" t="s">
        <v>258</v>
      </c>
      <c r="B7" s="650">
        <v>17812</v>
      </c>
      <c r="C7" s="865">
        <v>2391</v>
      </c>
      <c r="D7" s="862">
        <v>91.5</v>
      </c>
      <c r="E7" s="863">
        <v>17037</v>
      </c>
      <c r="F7" s="651">
        <v>1782</v>
      </c>
      <c r="G7" s="653">
        <f>F7*0.03827</f>
        <v>68.19713999999999</v>
      </c>
      <c r="H7" s="650">
        <v>17800</v>
      </c>
      <c r="I7" s="651">
        <v>1800</v>
      </c>
      <c r="J7" s="659">
        <f>I7*0.03827+0.01</f>
        <v>68.896</v>
      </c>
      <c r="K7" s="660">
        <v>17500</v>
      </c>
      <c r="M7" s="543">
        <f>D7/C7</f>
        <v>0.038268506900878296</v>
      </c>
    </row>
    <row r="8" spans="1:14" ht="16.5" thickBot="1">
      <c r="A8" s="547" t="s">
        <v>259</v>
      </c>
      <c r="B8" s="645">
        <v>19100</v>
      </c>
      <c r="C8" s="866">
        <v>2185</v>
      </c>
      <c r="D8" s="867">
        <v>74.4</v>
      </c>
      <c r="E8" s="864">
        <v>19512</v>
      </c>
      <c r="F8" s="646">
        <v>1561</v>
      </c>
      <c r="G8" s="654">
        <v>65.21</v>
      </c>
      <c r="H8" s="645">
        <v>19104</v>
      </c>
      <c r="I8" s="646">
        <v>1800</v>
      </c>
      <c r="J8" s="657">
        <v>70</v>
      </c>
      <c r="K8" s="647">
        <v>19200</v>
      </c>
      <c r="N8" s="901"/>
    </row>
    <row r="9" spans="1:11" ht="16.5" thickBot="1">
      <c r="A9" s="548" t="s">
        <v>260</v>
      </c>
      <c r="B9" s="549">
        <f>B6+B7+B8</f>
        <v>46088</v>
      </c>
      <c r="C9" s="550">
        <f>C6+C7+C8</f>
        <v>5497</v>
      </c>
      <c r="D9" s="655">
        <f>D6+D7+D8</f>
        <v>198.5</v>
      </c>
      <c r="E9" s="549">
        <f>E6+E7+E8</f>
        <v>46625</v>
      </c>
      <c r="F9" s="550">
        <f aca="true" t="shared" si="0" ref="F9:K9">F6+F7+F8</f>
        <v>4140</v>
      </c>
      <c r="G9" s="655">
        <f>G6+G7+G8</f>
        <v>161.62093999999996</v>
      </c>
      <c r="H9" s="549">
        <f t="shared" si="0"/>
        <v>47104</v>
      </c>
      <c r="I9" s="550">
        <f t="shared" si="0"/>
        <v>4700</v>
      </c>
      <c r="J9" s="658">
        <f>J6+J7+J8</f>
        <v>177.796</v>
      </c>
      <c r="K9" s="551">
        <f t="shared" si="0"/>
        <v>46680</v>
      </c>
    </row>
    <row r="11" spans="1:16" s="553" customFormat="1" ht="18.75">
      <c r="A11" s="1425" t="s">
        <v>369</v>
      </c>
      <c r="B11" s="1425"/>
      <c r="C11" s="1425"/>
      <c r="D11" s="1425"/>
      <c r="E11" s="1425"/>
      <c r="F11" s="1425"/>
      <c r="G11" s="1425"/>
      <c r="H11" s="1425"/>
      <c r="I11" s="552"/>
      <c r="J11" s="552"/>
      <c r="K11" s="552"/>
      <c r="L11" s="552"/>
      <c r="M11" s="667"/>
      <c r="N11" s="552"/>
      <c r="O11" s="552"/>
      <c r="P11" s="552"/>
    </row>
    <row r="12" spans="1:16" s="553" customFormat="1" ht="19.5" thickBot="1">
      <c r="A12" s="1414" t="s">
        <v>370</v>
      </c>
      <c r="B12" s="1414"/>
      <c r="C12" s="1414"/>
      <c r="D12" s="1414"/>
      <c r="E12" s="1414"/>
      <c r="F12" s="1414"/>
      <c r="G12" s="1414"/>
      <c r="H12" s="1414"/>
      <c r="I12" s="552"/>
      <c r="J12" s="552"/>
      <c r="K12" s="552"/>
      <c r="L12" s="552"/>
      <c r="M12" s="552"/>
      <c r="N12" s="552"/>
      <c r="O12" s="552"/>
      <c r="P12" s="552"/>
    </row>
    <row r="13" spans="1:16" s="553" customFormat="1" ht="32.25" thickBot="1">
      <c r="A13" s="554"/>
      <c r="B13" s="555" t="s">
        <v>371</v>
      </c>
      <c r="C13" s="556" t="s">
        <v>361</v>
      </c>
      <c r="D13" s="556" t="s">
        <v>384</v>
      </c>
      <c r="E13" s="556" t="s">
        <v>417</v>
      </c>
      <c r="F13" s="556" t="s">
        <v>418</v>
      </c>
      <c r="G13" s="557" t="s">
        <v>378</v>
      </c>
      <c r="H13" s="557" t="s">
        <v>385</v>
      </c>
      <c r="I13" s="557" t="s">
        <v>386</v>
      </c>
      <c r="J13" s="558"/>
      <c r="K13" s="558"/>
      <c r="L13" s="558"/>
      <c r="M13" s="558"/>
      <c r="N13" s="558"/>
      <c r="O13" s="558"/>
      <c r="P13" s="558"/>
    </row>
    <row r="14" spans="1:9" s="553" customFormat="1" ht="15.75">
      <c r="A14" s="559" t="s">
        <v>257</v>
      </c>
      <c r="B14" s="588">
        <v>18879</v>
      </c>
      <c r="C14" s="636">
        <v>8638</v>
      </c>
      <c r="D14" s="636">
        <v>10571</v>
      </c>
      <c r="E14" s="649">
        <v>11365</v>
      </c>
      <c r="F14" s="649">
        <v>21621</v>
      </c>
      <c r="G14" s="649">
        <v>8524</v>
      </c>
      <c r="H14" s="725"/>
      <c r="I14" s="639"/>
    </row>
    <row r="15" spans="1:9" s="553" customFormat="1" ht="15.75">
      <c r="A15" s="546" t="s">
        <v>258</v>
      </c>
      <c r="B15" s="634">
        <v>22195</v>
      </c>
      <c r="C15" s="637">
        <v>41602</v>
      </c>
      <c r="D15" s="637">
        <v>52000</v>
      </c>
      <c r="E15" s="661">
        <v>33800</v>
      </c>
      <c r="F15" s="661">
        <v>40500</v>
      </c>
      <c r="G15" s="661">
        <v>45000</v>
      </c>
      <c r="H15" s="726"/>
      <c r="I15" s="640"/>
    </row>
    <row r="16" spans="1:9" s="553" customFormat="1" ht="16.5" thickBot="1">
      <c r="A16" s="547" t="s">
        <v>259</v>
      </c>
      <c r="B16" s="635">
        <v>13035</v>
      </c>
      <c r="C16" s="638">
        <v>24472</v>
      </c>
      <c r="D16" s="638">
        <v>35242</v>
      </c>
      <c r="E16" s="648">
        <v>42017</v>
      </c>
      <c r="F16" s="648">
        <v>38206</v>
      </c>
      <c r="G16" s="648">
        <v>10020</v>
      </c>
      <c r="H16" s="727"/>
      <c r="I16" s="641"/>
    </row>
    <row r="17" spans="1:9" s="553" customFormat="1" ht="16.5" thickBot="1">
      <c r="A17" s="548" t="s">
        <v>260</v>
      </c>
      <c r="B17" s="589">
        <f aca="true" t="shared" si="1" ref="B17:H17">B14+B15+B16</f>
        <v>54109</v>
      </c>
      <c r="C17" s="589">
        <f t="shared" si="1"/>
        <v>74712</v>
      </c>
      <c r="D17" s="589">
        <f t="shared" si="1"/>
        <v>97813</v>
      </c>
      <c r="E17" s="589">
        <f t="shared" si="1"/>
        <v>87182</v>
      </c>
      <c r="F17" s="560">
        <f t="shared" si="1"/>
        <v>100327</v>
      </c>
      <c r="G17" s="560">
        <f t="shared" si="1"/>
        <v>63544</v>
      </c>
      <c r="H17" s="561">
        <f t="shared" si="1"/>
        <v>0</v>
      </c>
      <c r="I17" s="561">
        <f>I14+I15+I16</f>
        <v>0</v>
      </c>
    </row>
    <row r="19" spans="1:7" ht="19.5" thickBot="1">
      <c r="A19" s="1415" t="s">
        <v>372</v>
      </c>
      <c r="B19" s="1415"/>
      <c r="C19" s="1415"/>
      <c r="D19" s="1415"/>
      <c r="E19" s="1415"/>
      <c r="F19" s="1415"/>
      <c r="G19" s="1415"/>
    </row>
    <row r="20" spans="1:9" ht="32.25" thickBot="1">
      <c r="A20" s="562"/>
      <c r="B20" s="563" t="s">
        <v>371</v>
      </c>
      <c r="C20" s="564" t="s">
        <v>361</v>
      </c>
      <c r="D20" s="564" t="s">
        <v>384</v>
      </c>
      <c r="E20" s="564" t="s">
        <v>417</v>
      </c>
      <c r="F20" s="564" t="s">
        <v>418</v>
      </c>
      <c r="G20" s="731" t="s">
        <v>378</v>
      </c>
      <c r="H20" s="564" t="s">
        <v>385</v>
      </c>
      <c r="I20" s="732" t="s">
        <v>386</v>
      </c>
    </row>
    <row r="21" spans="1:9" ht="15.75">
      <c r="A21" s="566" t="s">
        <v>257</v>
      </c>
      <c r="B21" s="567">
        <v>57</v>
      </c>
      <c r="C21" s="568">
        <v>60</v>
      </c>
      <c r="D21" s="728">
        <v>56</v>
      </c>
      <c r="E21" s="632">
        <v>60</v>
      </c>
      <c r="F21" s="632">
        <v>85</v>
      </c>
      <c r="G21" s="897">
        <v>85</v>
      </c>
      <c r="H21" s="632">
        <v>85</v>
      </c>
      <c r="I21" s="898">
        <v>85</v>
      </c>
    </row>
    <row r="22" spans="1:9" ht="15.75">
      <c r="A22" s="546" t="s">
        <v>258</v>
      </c>
      <c r="B22" s="569">
        <v>102</v>
      </c>
      <c r="C22" s="570">
        <v>115</v>
      </c>
      <c r="D22" s="729">
        <v>118</v>
      </c>
      <c r="E22" s="633">
        <v>112</v>
      </c>
      <c r="F22" s="633">
        <v>105</v>
      </c>
      <c r="G22" s="750">
        <v>105</v>
      </c>
      <c r="H22" s="633">
        <v>105</v>
      </c>
      <c r="I22" s="751">
        <v>105</v>
      </c>
    </row>
    <row r="23" spans="1:9" ht="16.5" thickBot="1">
      <c r="A23" s="547" t="s">
        <v>259</v>
      </c>
      <c r="B23" s="571">
        <v>137</v>
      </c>
      <c r="C23" s="572">
        <v>124</v>
      </c>
      <c r="D23" s="730">
        <v>106</v>
      </c>
      <c r="E23" s="631">
        <v>108</v>
      </c>
      <c r="F23" s="631">
        <v>106</v>
      </c>
      <c r="G23" s="735">
        <v>107</v>
      </c>
      <c r="H23" s="736">
        <v>107</v>
      </c>
      <c r="I23" s="737">
        <v>107</v>
      </c>
    </row>
    <row r="24" spans="1:9" ht="16.5" thickBot="1">
      <c r="A24" s="548" t="s">
        <v>260</v>
      </c>
      <c r="B24" s="573">
        <f aca="true" t="shared" si="2" ref="B24:H24">B21+B22+B23</f>
        <v>296</v>
      </c>
      <c r="C24" s="574">
        <f t="shared" si="2"/>
        <v>299</v>
      </c>
      <c r="D24" s="574">
        <f t="shared" si="2"/>
        <v>280</v>
      </c>
      <c r="E24" s="574">
        <f t="shared" si="2"/>
        <v>280</v>
      </c>
      <c r="F24" s="574">
        <f t="shared" si="2"/>
        <v>296</v>
      </c>
      <c r="G24" s="734">
        <f t="shared" si="2"/>
        <v>297</v>
      </c>
      <c r="H24" s="574">
        <f t="shared" si="2"/>
        <v>297</v>
      </c>
      <c r="I24" s="733">
        <f>I21+I22+I23</f>
        <v>297</v>
      </c>
    </row>
    <row r="26" s="553" customFormat="1" ht="19.5" thickBot="1">
      <c r="A26" s="575" t="s">
        <v>373</v>
      </c>
    </row>
    <row r="27" spans="1:9" ht="32.25" thickBot="1">
      <c r="A27" s="576"/>
      <c r="B27" s="563" t="s">
        <v>371</v>
      </c>
      <c r="C27" s="564" t="s">
        <v>361</v>
      </c>
      <c r="D27" s="564" t="s">
        <v>384</v>
      </c>
      <c r="E27" s="556" t="s">
        <v>417</v>
      </c>
      <c r="F27" s="556" t="s">
        <v>418</v>
      </c>
      <c r="G27" s="731" t="s">
        <v>378</v>
      </c>
      <c r="H27" s="731" t="s">
        <v>385</v>
      </c>
      <c r="I27" s="565" t="s">
        <v>386</v>
      </c>
    </row>
    <row r="28" spans="1:9" ht="15.75">
      <c r="A28" s="1416" t="s">
        <v>257</v>
      </c>
      <c r="B28" s="1417"/>
      <c r="C28" s="1417"/>
      <c r="D28" s="1417"/>
      <c r="E28" s="1417"/>
      <c r="F28" s="1417"/>
      <c r="G28" s="1417"/>
      <c r="H28" s="1417"/>
      <c r="I28" s="1418"/>
    </row>
    <row r="29" spans="1:9" ht="15.75">
      <c r="A29" s="577" t="s">
        <v>374</v>
      </c>
      <c r="B29" s="578">
        <f>B30+B31</f>
        <v>42501.4</v>
      </c>
      <c r="C29" s="578">
        <f aca="true" t="shared" si="3" ref="C29:H29">C30+C31</f>
        <v>43317.1</v>
      </c>
      <c r="D29" s="578">
        <f t="shared" si="3"/>
        <v>42536</v>
      </c>
      <c r="E29" s="869">
        <f t="shared" si="3"/>
        <v>59490.4</v>
      </c>
      <c r="F29" s="578">
        <f t="shared" si="3"/>
        <v>64438.3</v>
      </c>
      <c r="G29" s="578">
        <f t="shared" si="3"/>
        <v>70000</v>
      </c>
      <c r="H29" s="741">
        <f t="shared" si="3"/>
        <v>0</v>
      </c>
      <c r="I29" s="579">
        <f>I30+I31</f>
        <v>0</v>
      </c>
    </row>
    <row r="30" spans="1:9" ht="15.75">
      <c r="A30" s="580" t="s">
        <v>375</v>
      </c>
      <c r="B30" s="581">
        <v>10894.9</v>
      </c>
      <c r="C30" s="581">
        <v>16175.6</v>
      </c>
      <c r="D30" s="581">
        <v>8216</v>
      </c>
      <c r="E30" s="870">
        <v>3843.6</v>
      </c>
      <c r="F30" s="739">
        <v>4438.3</v>
      </c>
      <c r="G30" s="581">
        <v>5000</v>
      </c>
      <c r="H30" s="742"/>
      <c r="I30" s="582"/>
    </row>
    <row r="31" spans="1:9" ht="15.75">
      <c r="A31" s="580" t="s">
        <v>376</v>
      </c>
      <c r="B31" s="581">
        <v>31606.5</v>
      </c>
      <c r="C31" s="581">
        <v>27141.5</v>
      </c>
      <c r="D31" s="581">
        <v>34320</v>
      </c>
      <c r="E31" s="870">
        <v>55646.8</v>
      </c>
      <c r="F31" s="581">
        <v>60000</v>
      </c>
      <c r="G31" s="581">
        <v>65000</v>
      </c>
      <c r="H31" s="742"/>
      <c r="I31" s="582"/>
    </row>
    <row r="32" spans="1:9" ht="16.5" thickBot="1">
      <c r="A32" s="583" t="s">
        <v>377</v>
      </c>
      <c r="B32" s="584">
        <v>18879</v>
      </c>
      <c r="C32" s="584">
        <v>9455</v>
      </c>
      <c r="D32" s="584">
        <v>11439</v>
      </c>
      <c r="E32" s="871">
        <v>7872.1</v>
      </c>
      <c r="F32" s="740">
        <v>11621</v>
      </c>
      <c r="G32" s="740">
        <v>8524</v>
      </c>
      <c r="H32" s="743"/>
      <c r="I32" s="585"/>
    </row>
    <row r="33" spans="1:9" ht="15.75">
      <c r="A33" s="1416" t="s">
        <v>258</v>
      </c>
      <c r="B33" s="1417"/>
      <c r="C33" s="1417"/>
      <c r="D33" s="1417"/>
      <c r="E33" s="1417"/>
      <c r="F33" s="1417"/>
      <c r="G33" s="1417"/>
      <c r="H33" s="1417"/>
      <c r="I33" s="1418"/>
    </row>
    <row r="34" spans="1:9" ht="15.75">
      <c r="A34" s="577" t="s">
        <v>374</v>
      </c>
      <c r="B34" s="578">
        <f aca="true" t="shared" si="4" ref="B34:H34">B35+B36</f>
        <v>66672.8</v>
      </c>
      <c r="C34" s="578">
        <f t="shared" si="4"/>
        <v>72512.7</v>
      </c>
      <c r="D34" s="578">
        <f t="shared" si="4"/>
        <v>76455.1</v>
      </c>
      <c r="E34" s="738">
        <f t="shared" si="4"/>
        <v>122558</v>
      </c>
      <c r="F34" s="738">
        <f t="shared" si="4"/>
        <v>101042</v>
      </c>
      <c r="G34" s="738">
        <f t="shared" si="4"/>
        <v>110000</v>
      </c>
      <c r="H34" s="741">
        <f t="shared" si="4"/>
        <v>0</v>
      </c>
      <c r="I34" s="579">
        <f>I35+I36</f>
        <v>0</v>
      </c>
    </row>
    <row r="35" spans="1:9" ht="15.75">
      <c r="A35" s="580" t="s">
        <v>375</v>
      </c>
      <c r="B35" s="581">
        <v>28413.5</v>
      </c>
      <c r="C35" s="581">
        <v>17921.1</v>
      </c>
      <c r="D35" s="581">
        <v>10183.6</v>
      </c>
      <c r="E35" s="739">
        <v>6918</v>
      </c>
      <c r="F35" s="739">
        <v>8642</v>
      </c>
      <c r="G35" s="739">
        <v>10000</v>
      </c>
      <c r="H35" s="742"/>
      <c r="I35" s="582"/>
    </row>
    <row r="36" spans="1:9" ht="15.75">
      <c r="A36" s="580" t="s">
        <v>376</v>
      </c>
      <c r="B36" s="581">
        <v>38259.3</v>
      </c>
      <c r="C36" s="581">
        <v>54591.6</v>
      </c>
      <c r="D36" s="581">
        <v>66271.5</v>
      </c>
      <c r="E36" s="739">
        <v>115640</v>
      </c>
      <c r="F36" s="739">
        <v>92400</v>
      </c>
      <c r="G36" s="739">
        <v>100000</v>
      </c>
      <c r="H36" s="742"/>
      <c r="I36" s="582"/>
    </row>
    <row r="37" spans="1:9" ht="16.5" thickBot="1">
      <c r="A37" s="583" t="s">
        <v>377</v>
      </c>
      <c r="B37" s="584">
        <v>22744.8</v>
      </c>
      <c r="C37" s="584">
        <v>42052</v>
      </c>
      <c r="D37" s="584">
        <v>11116.3</v>
      </c>
      <c r="E37" s="740">
        <v>52268</v>
      </c>
      <c r="F37" s="740">
        <v>26500</v>
      </c>
      <c r="G37" s="740">
        <v>30000</v>
      </c>
      <c r="H37" s="743"/>
      <c r="I37" s="585"/>
    </row>
    <row r="38" spans="1:9" ht="15.75">
      <c r="A38" s="1416" t="s">
        <v>259</v>
      </c>
      <c r="B38" s="1417"/>
      <c r="C38" s="1417"/>
      <c r="D38" s="1417"/>
      <c r="E38" s="1417"/>
      <c r="F38" s="1417"/>
      <c r="G38" s="1417"/>
      <c r="H38" s="1417"/>
      <c r="I38" s="1418"/>
    </row>
    <row r="39" spans="1:9" ht="15.75">
      <c r="A39" s="577" t="s">
        <v>374</v>
      </c>
      <c r="B39" s="578">
        <f aca="true" t="shared" si="5" ref="B39:H39">B40+B41</f>
        <v>77320.4</v>
      </c>
      <c r="C39" s="578">
        <f t="shared" si="5"/>
        <v>89828.4</v>
      </c>
      <c r="D39" s="578">
        <f t="shared" si="5"/>
        <v>104703</v>
      </c>
      <c r="E39" s="738">
        <f t="shared" si="5"/>
        <v>121344</v>
      </c>
      <c r="F39" s="738">
        <f t="shared" si="5"/>
        <v>120830</v>
      </c>
      <c r="G39" s="738">
        <f t="shared" si="5"/>
        <v>125000</v>
      </c>
      <c r="H39" s="741">
        <f t="shared" si="5"/>
        <v>0</v>
      </c>
      <c r="I39" s="579">
        <f>I40+I41</f>
        <v>0</v>
      </c>
    </row>
    <row r="40" spans="1:9" ht="15.75">
      <c r="A40" s="580" t="s">
        <v>375</v>
      </c>
      <c r="B40" s="581">
        <v>16295.4</v>
      </c>
      <c r="C40" s="581">
        <v>19543.7</v>
      </c>
      <c r="D40" s="581">
        <v>11837</v>
      </c>
      <c r="E40" s="739">
        <v>8000</v>
      </c>
      <c r="F40" s="739">
        <v>8595</v>
      </c>
      <c r="G40" s="739">
        <v>9000</v>
      </c>
      <c r="H40" s="742"/>
      <c r="I40" s="582"/>
    </row>
    <row r="41" spans="1:9" ht="15.75">
      <c r="A41" s="580" t="s">
        <v>376</v>
      </c>
      <c r="B41" s="581">
        <v>61025</v>
      </c>
      <c r="C41" s="581">
        <v>70284.7</v>
      </c>
      <c r="D41" s="581">
        <v>92866</v>
      </c>
      <c r="E41" s="739">
        <v>113344</v>
      </c>
      <c r="F41" s="739">
        <v>112235</v>
      </c>
      <c r="G41" s="739">
        <v>116000</v>
      </c>
      <c r="H41" s="742"/>
      <c r="I41" s="582"/>
    </row>
    <row r="42" spans="1:9" ht="16.5" thickBot="1">
      <c r="A42" s="583" t="s">
        <v>377</v>
      </c>
      <c r="B42" s="584">
        <v>17314</v>
      </c>
      <c r="C42" s="584">
        <v>27437</v>
      </c>
      <c r="D42" s="584">
        <v>38704</v>
      </c>
      <c r="E42" s="740">
        <v>8477</v>
      </c>
      <c r="F42" s="740">
        <v>12500</v>
      </c>
      <c r="G42" s="740">
        <v>15000</v>
      </c>
      <c r="H42" s="743"/>
      <c r="I42" s="585"/>
    </row>
    <row r="43" spans="1:9" ht="15.75">
      <c r="A43" s="1426" t="s">
        <v>260</v>
      </c>
      <c r="B43" s="1427"/>
      <c r="C43" s="1427"/>
      <c r="D43" s="1427"/>
      <c r="E43" s="1427"/>
      <c r="F43" s="1427"/>
      <c r="G43" s="1427"/>
      <c r="H43" s="1427"/>
      <c r="I43" s="1428"/>
    </row>
    <row r="44" spans="1:9" ht="15.75">
      <c r="A44" s="577" t="s">
        <v>374</v>
      </c>
      <c r="B44" s="578">
        <f>B45+B46</f>
        <v>186494.6</v>
      </c>
      <c r="C44" s="578">
        <f aca="true" t="shared" si="6" ref="C44:H44">C45+C46</f>
        <v>205658.19999999998</v>
      </c>
      <c r="D44" s="578">
        <f t="shared" si="6"/>
        <v>223694.1</v>
      </c>
      <c r="E44" s="578">
        <f t="shared" si="6"/>
        <v>303392.39999999997</v>
      </c>
      <c r="F44" s="578">
        <f t="shared" si="6"/>
        <v>286310.3</v>
      </c>
      <c r="G44" s="578">
        <f t="shared" si="6"/>
        <v>305000</v>
      </c>
      <c r="H44" s="741">
        <f t="shared" si="6"/>
        <v>0</v>
      </c>
      <c r="I44" s="579">
        <f>I45+I46</f>
        <v>0</v>
      </c>
    </row>
    <row r="45" spans="1:9" ht="15.75">
      <c r="A45" s="580" t="s">
        <v>375</v>
      </c>
      <c r="B45" s="581">
        <f>B30+B35+B40</f>
        <v>55603.8</v>
      </c>
      <c r="C45" s="581">
        <f aca="true" t="shared" si="7" ref="C45:H47">C30+C35+C40</f>
        <v>53640.399999999994</v>
      </c>
      <c r="D45" s="581">
        <f t="shared" si="7"/>
        <v>30236.6</v>
      </c>
      <c r="E45" s="581">
        <f t="shared" si="7"/>
        <v>18761.6</v>
      </c>
      <c r="F45" s="581">
        <f t="shared" si="7"/>
        <v>21675.3</v>
      </c>
      <c r="G45" s="581">
        <f t="shared" si="7"/>
        <v>24000</v>
      </c>
      <c r="H45" s="742">
        <f t="shared" si="7"/>
        <v>0</v>
      </c>
      <c r="I45" s="582">
        <f>I30+I35+I40</f>
        <v>0</v>
      </c>
    </row>
    <row r="46" spans="1:9" ht="15.75">
      <c r="A46" s="580" t="s">
        <v>376</v>
      </c>
      <c r="B46" s="581">
        <f>B31+B36+B41</f>
        <v>130890.8</v>
      </c>
      <c r="C46" s="581">
        <f t="shared" si="7"/>
        <v>152017.8</v>
      </c>
      <c r="D46" s="581">
        <f t="shared" si="7"/>
        <v>193457.5</v>
      </c>
      <c r="E46" s="581">
        <f t="shared" si="7"/>
        <v>284630.8</v>
      </c>
      <c r="F46" s="581">
        <f t="shared" si="7"/>
        <v>264635</v>
      </c>
      <c r="G46" s="581">
        <f t="shared" si="7"/>
        <v>281000</v>
      </c>
      <c r="H46" s="742">
        <f t="shared" si="7"/>
        <v>0</v>
      </c>
      <c r="I46" s="582">
        <f>I31+I36+I41</f>
        <v>0</v>
      </c>
    </row>
    <row r="47" spans="1:9" ht="16.5" thickBot="1">
      <c r="A47" s="583" t="s">
        <v>377</v>
      </c>
      <c r="B47" s="584">
        <f>B32+B37+B42</f>
        <v>58937.8</v>
      </c>
      <c r="C47" s="584">
        <f t="shared" si="7"/>
        <v>78944</v>
      </c>
      <c r="D47" s="584">
        <f t="shared" si="7"/>
        <v>61259.3</v>
      </c>
      <c r="E47" s="584">
        <f t="shared" si="7"/>
        <v>68617.1</v>
      </c>
      <c r="F47" s="584">
        <f t="shared" si="7"/>
        <v>50621</v>
      </c>
      <c r="G47" s="584">
        <f t="shared" si="7"/>
        <v>53524</v>
      </c>
      <c r="H47" s="743">
        <f t="shared" si="7"/>
        <v>0</v>
      </c>
      <c r="I47" s="585">
        <f>I32+I37+I42</f>
        <v>0</v>
      </c>
    </row>
    <row r="48" spans="1:9" ht="16.5" thickBot="1">
      <c r="A48" s="586" t="s">
        <v>206</v>
      </c>
      <c r="B48" s="587">
        <v>14594.7</v>
      </c>
      <c r="C48" s="587">
        <v>12331.3</v>
      </c>
      <c r="D48" s="587">
        <v>23130</v>
      </c>
      <c r="E48" s="754">
        <v>33798</v>
      </c>
      <c r="F48" s="754">
        <v>28200</v>
      </c>
      <c r="G48" s="754">
        <v>30000</v>
      </c>
      <c r="H48" s="752"/>
      <c r="I48" s="753"/>
    </row>
    <row r="50" ht="15.75">
      <c r="D50" s="599"/>
    </row>
  </sheetData>
  <sheetProtection/>
  <mergeCells count="19">
    <mergeCell ref="K4:K5"/>
    <mergeCell ref="A11:H11"/>
    <mergeCell ref="A33:I33"/>
    <mergeCell ref="A38:I38"/>
    <mergeCell ref="A43:I43"/>
    <mergeCell ref="A1:K1"/>
    <mergeCell ref="A3:A5"/>
    <mergeCell ref="B3:D3"/>
    <mergeCell ref="E3:G3"/>
    <mergeCell ref="H3:K3"/>
    <mergeCell ref="A12:H12"/>
    <mergeCell ref="A19:G19"/>
    <mergeCell ref="A28:I28"/>
    <mergeCell ref="E4:E5"/>
    <mergeCell ref="F4:G4"/>
    <mergeCell ref="H4:H5"/>
    <mergeCell ref="I4:J4"/>
    <mergeCell ref="B4:B5"/>
    <mergeCell ref="C4:D4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6" sqref="L6"/>
    </sheetView>
  </sheetViews>
  <sheetFormatPr defaultColWidth="9.00390625" defaultRowHeight="12.75"/>
  <cols>
    <col min="1" max="1" width="11.125" style="0" customWidth="1"/>
    <col min="3" max="3" width="10.625" style="0" customWidth="1"/>
    <col min="4" max="4" width="10.125" style="0" bestFit="1" customWidth="1"/>
    <col min="7" max="7" width="4.625" style="0" customWidth="1"/>
  </cols>
  <sheetData>
    <row r="1" spans="1:13" ht="15">
      <c r="A1" s="1444" t="s">
        <v>255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</row>
    <row r="2" ht="13.5" thickBot="1"/>
    <row r="3" spans="1:13" ht="13.5" thickBot="1">
      <c r="A3" s="1438" t="s">
        <v>202</v>
      </c>
      <c r="B3" s="1439"/>
      <c r="C3" s="1439"/>
      <c r="D3" s="1439"/>
      <c r="E3" s="1439"/>
      <c r="F3" s="1440"/>
      <c r="H3" s="1441" t="s">
        <v>203</v>
      </c>
      <c r="I3" s="1442"/>
      <c r="J3" s="1442"/>
      <c r="K3" s="1442"/>
      <c r="L3" s="1442"/>
      <c r="M3" s="1443"/>
    </row>
    <row r="4" spans="1:13" ht="13.5" thickBot="1">
      <c r="A4" s="97"/>
      <c r="B4" s="510">
        <v>2015</v>
      </c>
      <c r="C4" s="510">
        <v>2016</v>
      </c>
      <c r="D4" s="512">
        <v>2017</v>
      </c>
      <c r="E4" s="510">
        <v>2018</v>
      </c>
      <c r="F4" s="511">
        <v>2019</v>
      </c>
      <c r="H4" s="170"/>
      <c r="I4" s="510">
        <v>2015</v>
      </c>
      <c r="J4" s="510">
        <v>2016</v>
      </c>
      <c r="K4" s="512">
        <v>2017</v>
      </c>
      <c r="L4" s="510">
        <v>2018</v>
      </c>
      <c r="M4" s="511">
        <v>2019</v>
      </c>
    </row>
    <row r="5" spans="1:13" ht="12.75">
      <c r="A5" s="117" t="s">
        <v>192</v>
      </c>
      <c r="B5" s="132">
        <f>Морзверь!Q23/10</f>
        <v>11.9235</v>
      </c>
      <c r="C5" s="132">
        <f>Морзверь!R23/10</f>
        <v>10.5064</v>
      </c>
      <c r="D5" s="132">
        <f>Морзверь!S23/10</f>
        <v>7.39575</v>
      </c>
      <c r="E5" s="132">
        <f aca="true" t="shared" si="0" ref="E5:F9">D5*1.1</f>
        <v>8.135325</v>
      </c>
      <c r="F5" s="133">
        <f t="shared" si="0"/>
        <v>8.9488575</v>
      </c>
      <c r="H5" s="131" t="s">
        <v>192</v>
      </c>
      <c r="I5" s="132">
        <f>Морзверь!Q24/10</f>
        <v>9.5388</v>
      </c>
      <c r="J5" s="132">
        <f>Морзверь!R24/10</f>
        <v>8.40512</v>
      </c>
      <c r="K5" s="132">
        <f>Морзверь!S24/10</f>
        <v>5.9166</v>
      </c>
      <c r="L5" s="132">
        <f>K5*1.1</f>
        <v>6.50826</v>
      </c>
      <c r="M5" s="133">
        <f>L5*1.1</f>
        <v>7.159086</v>
      </c>
    </row>
    <row r="6" spans="1:13" ht="12.75">
      <c r="A6" s="96" t="s">
        <v>191</v>
      </c>
      <c r="B6" s="106">
        <f>Морзверь!Q19/10</f>
        <v>21.45441012</v>
      </c>
      <c r="C6" s="106">
        <f>Морзверь!R19/10</f>
        <v>21.45441012</v>
      </c>
      <c r="D6" s="106">
        <f>Морзверь!S19/10</f>
        <v>21.45441012</v>
      </c>
      <c r="E6" s="106">
        <f t="shared" si="0"/>
        <v>23.599851132</v>
      </c>
      <c r="F6" s="137">
        <f t="shared" si="0"/>
        <v>25.9598362452</v>
      </c>
      <c r="H6" s="135" t="s">
        <v>191</v>
      </c>
      <c r="I6" s="106">
        <f>Морзверь!Q20/10</f>
        <v>6.77507688</v>
      </c>
      <c r="J6" s="106">
        <f>Морзверь!R20/10</f>
        <v>6.77507688</v>
      </c>
      <c r="K6" s="106">
        <f>Морзверь!S20/10</f>
        <v>6.77507688</v>
      </c>
      <c r="L6" s="106">
        <f aca="true" t="shared" si="1" ref="L6:M9">K6*1.1</f>
        <v>7.452584568000001</v>
      </c>
      <c r="M6" s="137">
        <f t="shared" si="1"/>
        <v>8.197843024800001</v>
      </c>
    </row>
    <row r="7" spans="1:13" ht="12.75">
      <c r="A7" s="96" t="s">
        <v>201</v>
      </c>
      <c r="B7" s="106">
        <f>Морзверь!Q15/10</f>
        <v>1.2470249999999998</v>
      </c>
      <c r="C7" s="106">
        <f>Морзверь!R15/10</f>
        <v>1.2470249999999998</v>
      </c>
      <c r="D7" s="106">
        <f>Морзверь!S15/10</f>
        <v>1.2470249999999998</v>
      </c>
      <c r="E7" s="106">
        <f t="shared" si="0"/>
        <v>1.3717275</v>
      </c>
      <c r="F7" s="137">
        <f t="shared" si="0"/>
        <v>1.5089002500000002</v>
      </c>
      <c r="H7" s="135" t="s">
        <v>201</v>
      </c>
      <c r="I7" s="106">
        <f>Морзверь!Q16/10</f>
        <v>0.8313499999999999</v>
      </c>
      <c r="J7" s="106">
        <f>Морзверь!R16/10</f>
        <v>0.8313499999999999</v>
      </c>
      <c r="K7" s="106">
        <f>Морзверь!S16/10</f>
        <v>0.8313499999999999</v>
      </c>
      <c r="L7" s="106">
        <f t="shared" si="1"/>
        <v>0.914485</v>
      </c>
      <c r="M7" s="137">
        <f t="shared" si="1"/>
        <v>1.0059335</v>
      </c>
    </row>
    <row r="8" spans="1:13" ht="12.75">
      <c r="A8" s="96" t="s">
        <v>189</v>
      </c>
      <c r="B8" s="106">
        <f>Морзверь!Q7/10</f>
        <v>0.6757500000000001</v>
      </c>
      <c r="C8" s="106">
        <f>Морзверь!R7/10</f>
        <v>0.6757500000000001</v>
      </c>
      <c r="D8" s="106">
        <f>Морзверь!S7/10</f>
        <v>0.6757500000000001</v>
      </c>
      <c r="E8" s="106">
        <f t="shared" si="0"/>
        <v>0.7433250000000001</v>
      </c>
      <c r="F8" s="137">
        <f t="shared" si="0"/>
        <v>0.8176575000000001</v>
      </c>
      <c r="H8" s="135" t="s">
        <v>189</v>
      </c>
      <c r="I8" s="106">
        <f>Морзверь!Q8/10</f>
        <v>0.7568400000000002</v>
      </c>
      <c r="J8" s="106">
        <f>Морзверь!R8/10</f>
        <v>0.7568400000000002</v>
      </c>
      <c r="K8" s="106">
        <f>Морзверь!S8/10</f>
        <v>0.7568400000000002</v>
      </c>
      <c r="L8" s="106">
        <f t="shared" si="1"/>
        <v>0.8325240000000003</v>
      </c>
      <c r="M8" s="137">
        <f t="shared" si="1"/>
        <v>0.9157764000000004</v>
      </c>
    </row>
    <row r="9" spans="1:13" ht="13.5" thickBot="1">
      <c r="A9" s="99" t="s">
        <v>190</v>
      </c>
      <c r="B9" s="139">
        <f>Морзверь!Q11/10</f>
        <v>0.88140052</v>
      </c>
      <c r="C9" s="139">
        <f>Морзверь!R11/10</f>
        <v>0.379680224</v>
      </c>
      <c r="D9" s="139">
        <f>Морзверь!S11/10</f>
        <v>0.379680224</v>
      </c>
      <c r="E9" s="139">
        <f t="shared" si="0"/>
        <v>0.41764824640000003</v>
      </c>
      <c r="F9" s="141">
        <f t="shared" si="0"/>
        <v>0.45941307104000007</v>
      </c>
      <c r="H9" s="138" t="s">
        <v>190</v>
      </c>
      <c r="I9" s="139">
        <f>Морзверь!Q12/10</f>
        <v>0.9128791099999999</v>
      </c>
      <c r="J9" s="139">
        <f>Морзверь!R12/10</f>
        <v>0.39324023199999997</v>
      </c>
      <c r="K9" s="139">
        <f>Морзверь!S12/10</f>
        <v>0.39324023199999997</v>
      </c>
      <c r="L9" s="139">
        <f t="shared" si="1"/>
        <v>0.4325642552</v>
      </c>
      <c r="M9" s="141">
        <f t="shared" si="1"/>
        <v>0.47582068072000006</v>
      </c>
    </row>
    <row r="10" spans="1:13" ht="13.5" thickBot="1">
      <c r="A10" s="513" t="s">
        <v>200</v>
      </c>
      <c r="B10" s="172">
        <f>SUM(B5:B9)</f>
        <v>36.18208564</v>
      </c>
      <c r="C10" s="172">
        <f>SUM(C5:C9)</f>
        <v>34.263265344</v>
      </c>
      <c r="D10" s="174">
        <f>SUM(D5:D9)</f>
        <v>31.152615344</v>
      </c>
      <c r="E10" s="174">
        <f>SUM(E5:E9)</f>
        <v>34.267876878399996</v>
      </c>
      <c r="F10" s="514">
        <f>SUM(F5:F9)</f>
        <v>37.69466456624001</v>
      </c>
      <c r="H10" s="171" t="s">
        <v>200</v>
      </c>
      <c r="I10" s="172">
        <f>SUM(I5:I9)</f>
        <v>18.814945990000002</v>
      </c>
      <c r="J10" s="172">
        <f>SUM(J5:J9)</f>
        <v>17.161627112</v>
      </c>
      <c r="K10" s="174">
        <f>SUM(K5:K9)</f>
        <v>14.673107112</v>
      </c>
      <c r="L10" s="172">
        <f>SUM(L5:L9)</f>
        <v>16.1404178232</v>
      </c>
      <c r="M10" s="173">
        <f>SUM(M5:M9)</f>
        <v>17.754459605519997</v>
      </c>
    </row>
    <row r="14" spans="1:6" ht="12.75">
      <c r="A14" s="87" t="s">
        <v>213</v>
      </c>
      <c r="B14" s="87">
        <v>0</v>
      </c>
      <c r="C14" s="87">
        <v>0.5</v>
      </c>
      <c r="D14" s="87">
        <v>1</v>
      </c>
      <c r="E14" s="101">
        <v>1.5</v>
      </c>
      <c r="F14" s="101">
        <v>1.5</v>
      </c>
    </row>
    <row r="15" spans="1:6" ht="12.75">
      <c r="A15" s="100" t="s">
        <v>200</v>
      </c>
      <c r="B15" s="102">
        <f>B10+B14</f>
        <v>36.18208564</v>
      </c>
      <c r="C15" s="102">
        <f>C10+C14</f>
        <v>34.763265344</v>
      </c>
      <c r="D15" s="102">
        <f>D10+D14</f>
        <v>32.152615344</v>
      </c>
      <c r="E15" s="102">
        <f>E10+E14</f>
        <v>35.767876878399996</v>
      </c>
      <c r="F15" s="102">
        <f>F10+F14</f>
        <v>39.19466456624001</v>
      </c>
    </row>
    <row r="17" spans="1:5" ht="40.5" customHeight="1">
      <c r="A17" s="108" t="s">
        <v>350</v>
      </c>
      <c r="B17" s="108" t="s">
        <v>349</v>
      </c>
      <c r="C17" s="108" t="s">
        <v>360</v>
      </c>
      <c r="D17" s="108" t="s">
        <v>366</v>
      </c>
      <c r="E17" s="538"/>
    </row>
    <row r="18" spans="1:8" ht="12.75">
      <c r="A18" s="87"/>
      <c r="B18" s="106">
        <v>14594.7</v>
      </c>
      <c r="C18" s="537">
        <v>12331.3</v>
      </c>
      <c r="D18" s="537">
        <v>172212</v>
      </c>
      <c r="E18" s="536"/>
      <c r="H18" t="s">
        <v>246</v>
      </c>
    </row>
    <row r="20" spans="2:4" ht="12.75">
      <c r="B20" s="539"/>
      <c r="C20" s="539"/>
      <c r="D20" s="539"/>
    </row>
    <row r="21" ht="12.75">
      <c r="E21" t="s">
        <v>246</v>
      </c>
    </row>
  </sheetData>
  <sheetProtection/>
  <mergeCells count="3">
    <mergeCell ref="A3:F3"/>
    <mergeCell ref="H3:M3"/>
    <mergeCell ref="A1:M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52"/>
  <sheetViews>
    <sheetView zoomScalePageLayoutView="0" workbookViewId="0" topLeftCell="A7">
      <selection activeCell="P26" sqref="P26"/>
    </sheetView>
  </sheetViews>
  <sheetFormatPr defaultColWidth="9.00390625" defaultRowHeight="12.75"/>
  <cols>
    <col min="1" max="1" width="13.25390625" style="0" customWidth="1"/>
    <col min="2" max="2" width="9.25390625" style="0" customWidth="1"/>
    <col min="18" max="18" width="9.875" style="0" customWidth="1"/>
  </cols>
  <sheetData>
    <row r="1" ht="13.5" thickBot="1"/>
    <row r="2" spans="1:19" ht="13.5" thickBot="1">
      <c r="A2" s="1448"/>
      <c r="B2" s="1445" t="s">
        <v>212</v>
      </c>
      <c r="C2" s="1446"/>
      <c r="D2" s="1447"/>
      <c r="E2" s="1445" t="s">
        <v>209</v>
      </c>
      <c r="F2" s="1446"/>
      <c r="G2" s="1447"/>
      <c r="H2" s="1445" t="s">
        <v>228</v>
      </c>
      <c r="I2" s="1446"/>
      <c r="J2" s="1446"/>
      <c r="K2" s="1445" t="s">
        <v>207</v>
      </c>
      <c r="L2" s="1446"/>
      <c r="M2" s="1447"/>
      <c r="N2" s="1446" t="s">
        <v>210</v>
      </c>
      <c r="O2" s="1446"/>
      <c r="P2" s="1446"/>
      <c r="Q2" s="1445" t="s">
        <v>229</v>
      </c>
      <c r="R2" s="1446"/>
      <c r="S2" s="1447"/>
    </row>
    <row r="3" spans="1:19" ht="13.5" thickBot="1">
      <c r="A3" s="1448"/>
      <c r="B3" s="109">
        <v>2017</v>
      </c>
      <c r="C3" s="110">
        <v>2018</v>
      </c>
      <c r="D3" s="111">
        <v>2019</v>
      </c>
      <c r="E3" s="109">
        <v>2017</v>
      </c>
      <c r="F3" s="110">
        <v>2018</v>
      </c>
      <c r="G3" s="111">
        <v>2019</v>
      </c>
      <c r="H3" s="109">
        <v>2017</v>
      </c>
      <c r="I3" s="110">
        <v>2018</v>
      </c>
      <c r="J3" s="111">
        <v>2019</v>
      </c>
      <c r="K3" s="109">
        <v>2017</v>
      </c>
      <c r="L3" s="110">
        <v>2018</v>
      </c>
      <c r="M3" s="111">
        <v>2019</v>
      </c>
      <c r="N3" s="109">
        <v>2017</v>
      </c>
      <c r="O3" s="110">
        <v>2018</v>
      </c>
      <c r="P3" s="111">
        <v>2019</v>
      </c>
      <c r="Q3" s="109">
        <v>2017</v>
      </c>
      <c r="R3" s="110">
        <v>2018</v>
      </c>
      <c r="S3" s="111">
        <v>2019</v>
      </c>
    </row>
    <row r="4" spans="1:21" ht="26.25" thickBot="1">
      <c r="A4" s="1449"/>
      <c r="B4" s="500" t="s">
        <v>230</v>
      </c>
      <c r="C4" s="501" t="s">
        <v>231</v>
      </c>
      <c r="D4" s="502" t="s">
        <v>230</v>
      </c>
      <c r="E4" s="500" t="s">
        <v>230</v>
      </c>
      <c r="F4" s="501" t="s">
        <v>231</v>
      </c>
      <c r="G4" s="502" t="s">
        <v>230</v>
      </c>
      <c r="H4" s="112" t="s">
        <v>230</v>
      </c>
      <c r="I4" s="115" t="s">
        <v>231</v>
      </c>
      <c r="J4" s="114" t="s">
        <v>230</v>
      </c>
      <c r="K4" s="112" t="s">
        <v>230</v>
      </c>
      <c r="L4" s="113" t="s">
        <v>231</v>
      </c>
      <c r="M4" s="114" t="s">
        <v>230</v>
      </c>
      <c r="N4" s="115" t="s">
        <v>230</v>
      </c>
      <c r="O4" s="113" t="s">
        <v>231</v>
      </c>
      <c r="P4" s="115" t="s">
        <v>230</v>
      </c>
      <c r="Q4" s="112" t="s">
        <v>230</v>
      </c>
      <c r="R4" s="113" t="s">
        <v>231</v>
      </c>
      <c r="S4" s="114" t="s">
        <v>230</v>
      </c>
      <c r="U4" s="107"/>
    </row>
    <row r="5" spans="1:21" ht="12.75">
      <c r="A5" s="116" t="s">
        <v>232</v>
      </c>
      <c r="B5" s="131">
        <v>30</v>
      </c>
      <c r="C5" s="132">
        <v>85</v>
      </c>
      <c r="D5" s="133">
        <v>85</v>
      </c>
      <c r="E5" s="131">
        <v>25</v>
      </c>
      <c r="F5" s="132">
        <v>15</v>
      </c>
      <c r="G5" s="133">
        <v>15</v>
      </c>
      <c r="H5" s="131">
        <v>20</v>
      </c>
      <c r="I5" s="132">
        <v>10</v>
      </c>
      <c r="J5" s="133">
        <v>10</v>
      </c>
      <c r="K5" s="131">
        <v>5</v>
      </c>
      <c r="L5" s="132">
        <v>5</v>
      </c>
      <c r="M5" s="133">
        <v>5</v>
      </c>
      <c r="N5" s="134">
        <v>5</v>
      </c>
      <c r="O5" s="132">
        <v>5</v>
      </c>
      <c r="P5" s="133">
        <v>5</v>
      </c>
      <c r="Q5" s="504">
        <f>SUM(B5+E5+H5+K5+N5)</f>
        <v>85</v>
      </c>
      <c r="R5" s="504">
        <v>85</v>
      </c>
      <c r="S5" s="505">
        <v>85</v>
      </c>
      <c r="U5" s="107"/>
    </row>
    <row r="6" spans="1:21" ht="12.75">
      <c r="A6" s="118" t="s">
        <v>233</v>
      </c>
      <c r="B6" s="135">
        <v>9</v>
      </c>
      <c r="C6" s="106">
        <f>C5*0.318</f>
        <v>27.03</v>
      </c>
      <c r="D6" s="137">
        <f>D5*0.318</f>
        <v>27.03</v>
      </c>
      <c r="E6" s="135" t="s">
        <v>393</v>
      </c>
      <c r="F6" s="106">
        <v>4.77</v>
      </c>
      <c r="G6" s="137">
        <v>4.77</v>
      </c>
      <c r="H6" s="135" t="s">
        <v>396</v>
      </c>
      <c r="I6" s="106">
        <v>3.18</v>
      </c>
      <c r="J6" s="137">
        <v>3.18</v>
      </c>
      <c r="K6" s="135" t="s">
        <v>399</v>
      </c>
      <c r="L6" s="106">
        <v>1.59</v>
      </c>
      <c r="M6" s="137">
        <v>1.59</v>
      </c>
      <c r="N6" s="136" t="s">
        <v>400</v>
      </c>
      <c r="O6" s="106">
        <f>O5*0.318</f>
        <v>1.59</v>
      </c>
      <c r="P6" s="137">
        <f>P5*0.318</f>
        <v>1.59</v>
      </c>
      <c r="Q6" s="136">
        <f>Q5*0.318</f>
        <v>27.03</v>
      </c>
      <c r="R6" s="106">
        <f>R5*0.318</f>
        <v>27.03</v>
      </c>
      <c r="S6" s="137">
        <f>S5*0.318</f>
        <v>27.03</v>
      </c>
      <c r="U6" s="107"/>
    </row>
    <row r="7" spans="1:21" ht="12.75">
      <c r="A7" s="118" t="s">
        <v>215</v>
      </c>
      <c r="B7" s="135">
        <f>B6*0.25</f>
        <v>2.25</v>
      </c>
      <c r="C7" s="106">
        <f>C6*0.25</f>
        <v>6.7575</v>
      </c>
      <c r="D7" s="137">
        <f>D6*0.25</f>
        <v>6.7575</v>
      </c>
      <c r="E7" s="135">
        <v>1.19</v>
      </c>
      <c r="F7" s="106">
        <v>1.19</v>
      </c>
      <c r="G7" s="137">
        <v>1.19</v>
      </c>
      <c r="H7" s="135">
        <v>0.8</v>
      </c>
      <c r="I7" s="106">
        <v>0.8</v>
      </c>
      <c r="J7" s="137">
        <v>0.8</v>
      </c>
      <c r="K7" s="135">
        <v>0.4</v>
      </c>
      <c r="L7" s="106">
        <v>0.4</v>
      </c>
      <c r="M7" s="137">
        <v>0.4</v>
      </c>
      <c r="N7" s="136">
        <f aca="true" t="shared" si="0" ref="N7:S7">N6*0.25</f>
        <v>0.375</v>
      </c>
      <c r="O7" s="106">
        <f t="shared" si="0"/>
        <v>0.3975</v>
      </c>
      <c r="P7" s="137">
        <f t="shared" si="0"/>
        <v>0.3975</v>
      </c>
      <c r="Q7" s="136">
        <f t="shared" si="0"/>
        <v>6.7575</v>
      </c>
      <c r="R7" s="106">
        <f t="shared" si="0"/>
        <v>6.7575</v>
      </c>
      <c r="S7" s="137">
        <f t="shared" si="0"/>
        <v>6.7575</v>
      </c>
      <c r="U7" s="107"/>
    </row>
    <row r="8" spans="1:21" ht="13.5" thickBot="1">
      <c r="A8" s="119" t="s">
        <v>234</v>
      </c>
      <c r="B8" s="138">
        <f>B6*0.28</f>
        <v>2.5200000000000005</v>
      </c>
      <c r="C8" s="139">
        <f>C6*0.28</f>
        <v>7.568400000000001</v>
      </c>
      <c r="D8" s="141">
        <f>D6*0.28</f>
        <v>7.568400000000001</v>
      </c>
      <c r="E8" s="138">
        <v>1.34</v>
      </c>
      <c r="F8" s="139">
        <v>1.34</v>
      </c>
      <c r="G8" s="141">
        <v>1.34</v>
      </c>
      <c r="H8" s="138">
        <v>0.89</v>
      </c>
      <c r="I8" s="139">
        <v>0.89</v>
      </c>
      <c r="J8" s="141">
        <v>0.89</v>
      </c>
      <c r="K8" s="138">
        <v>0.45</v>
      </c>
      <c r="L8" s="139">
        <v>0.45</v>
      </c>
      <c r="M8" s="141">
        <v>0.45</v>
      </c>
      <c r="N8" s="140">
        <f aca="true" t="shared" si="1" ref="N8:S8">N6*0.28</f>
        <v>0.42000000000000004</v>
      </c>
      <c r="O8" s="139">
        <f t="shared" si="1"/>
        <v>0.44520000000000004</v>
      </c>
      <c r="P8" s="141">
        <f t="shared" si="1"/>
        <v>0.44520000000000004</v>
      </c>
      <c r="Q8" s="140">
        <f t="shared" si="1"/>
        <v>7.568400000000001</v>
      </c>
      <c r="R8" s="139">
        <f t="shared" si="1"/>
        <v>7.568400000000001</v>
      </c>
      <c r="S8" s="141">
        <f t="shared" si="1"/>
        <v>7.568400000000001</v>
      </c>
      <c r="U8" s="107"/>
    </row>
    <row r="9" spans="1:21" ht="12.75">
      <c r="A9" s="116" t="s">
        <v>235</v>
      </c>
      <c r="B9" s="131">
        <v>20</v>
      </c>
      <c r="C9" s="132">
        <v>20</v>
      </c>
      <c r="D9" s="133">
        <v>20</v>
      </c>
      <c r="E9" s="131"/>
      <c r="F9" s="132"/>
      <c r="G9" s="133"/>
      <c r="H9" s="131"/>
      <c r="I9" s="132"/>
      <c r="J9" s="133"/>
      <c r="K9" s="131">
        <v>3</v>
      </c>
      <c r="L9" s="132">
        <v>3</v>
      </c>
      <c r="M9" s="133">
        <v>3</v>
      </c>
      <c r="N9" s="134">
        <v>5</v>
      </c>
      <c r="O9" s="132">
        <v>5</v>
      </c>
      <c r="P9" s="133">
        <v>5</v>
      </c>
      <c r="Q9" s="504">
        <v>65</v>
      </c>
      <c r="R9" s="504">
        <f>C9+F9+I9+L9+O9</f>
        <v>28</v>
      </c>
      <c r="S9" s="505">
        <f>D9+G9+J9+M9+P9</f>
        <v>28</v>
      </c>
      <c r="U9" s="107"/>
    </row>
    <row r="10" spans="1:21" ht="12.75">
      <c r="A10" s="118" t="s">
        <v>233</v>
      </c>
      <c r="B10" s="135">
        <f>B9*0.484286</f>
        <v>9.68572</v>
      </c>
      <c r="C10" s="106">
        <f>C9*0.484286</f>
        <v>9.68572</v>
      </c>
      <c r="D10" s="137">
        <f>D9*0.484286</f>
        <v>9.68572</v>
      </c>
      <c r="E10" s="135"/>
      <c r="F10" s="106"/>
      <c r="G10" s="137"/>
      <c r="H10" s="135"/>
      <c r="I10" s="106"/>
      <c r="J10" s="137"/>
      <c r="K10" s="135" t="s">
        <v>400</v>
      </c>
      <c r="L10" s="106">
        <v>1.45</v>
      </c>
      <c r="M10" s="137">
        <v>1.45</v>
      </c>
      <c r="N10" s="136" t="s">
        <v>401</v>
      </c>
      <c r="O10" s="106">
        <f>O9*0.484286</f>
        <v>2.42143</v>
      </c>
      <c r="P10" s="137">
        <f>P9*0.484286</f>
        <v>2.42143</v>
      </c>
      <c r="Q10" s="136">
        <f>Q9*0.484286</f>
        <v>31.47859</v>
      </c>
      <c r="R10" s="106">
        <f>R9*0.484286</f>
        <v>13.560008</v>
      </c>
      <c r="S10" s="137">
        <f>S9*0.484286</f>
        <v>13.560008</v>
      </c>
      <c r="U10" s="107"/>
    </row>
    <row r="11" spans="1:21" ht="12.75">
      <c r="A11" s="118" t="s">
        <v>215</v>
      </c>
      <c r="B11" s="135">
        <f>B10*0.28</f>
        <v>2.7120016000000002</v>
      </c>
      <c r="C11" s="106">
        <f>C10*0.28</f>
        <v>2.7120016000000002</v>
      </c>
      <c r="D11" s="137">
        <f>D10*0.28</f>
        <v>2.7120016000000002</v>
      </c>
      <c r="E11" s="135"/>
      <c r="F11" s="106"/>
      <c r="G11" s="137"/>
      <c r="H11" s="135"/>
      <c r="I11" s="106"/>
      <c r="J11" s="137"/>
      <c r="K11" s="135">
        <v>0.41</v>
      </c>
      <c r="L11" s="106">
        <v>0.41</v>
      </c>
      <c r="M11" s="137">
        <v>0.41</v>
      </c>
      <c r="N11" s="136">
        <f aca="true" t="shared" si="2" ref="N11:S11">N10*0.28</f>
        <v>0.7000000000000001</v>
      </c>
      <c r="O11" s="106">
        <f t="shared" si="2"/>
        <v>0.6780004000000001</v>
      </c>
      <c r="P11" s="137">
        <f t="shared" si="2"/>
        <v>0.6780004000000001</v>
      </c>
      <c r="Q11" s="136">
        <f t="shared" si="2"/>
        <v>8.8140052</v>
      </c>
      <c r="R11" s="106">
        <f t="shared" si="2"/>
        <v>3.7968022400000003</v>
      </c>
      <c r="S11" s="137">
        <f t="shared" si="2"/>
        <v>3.7968022400000003</v>
      </c>
      <c r="U11" s="107"/>
    </row>
    <row r="12" spans="1:21" ht="13.5" thickBot="1">
      <c r="A12" s="119" t="s">
        <v>234</v>
      </c>
      <c r="B12" s="138">
        <f>B10*0.29</f>
        <v>2.8088588</v>
      </c>
      <c r="C12" s="139">
        <f>C10*0.29</f>
        <v>2.8088588</v>
      </c>
      <c r="D12" s="141">
        <f>D10*0.29</f>
        <v>2.8088588</v>
      </c>
      <c r="E12" s="138"/>
      <c r="F12" s="139"/>
      <c r="G12" s="141"/>
      <c r="H12" s="138"/>
      <c r="I12" s="139"/>
      <c r="J12" s="141"/>
      <c r="K12" s="138">
        <v>0.42</v>
      </c>
      <c r="L12" s="139">
        <v>0.42</v>
      </c>
      <c r="M12" s="141">
        <v>0.42</v>
      </c>
      <c r="N12" s="140">
        <f aca="true" t="shared" si="3" ref="N12:S12">N10*0.29</f>
        <v>0.725</v>
      </c>
      <c r="O12" s="139">
        <f t="shared" si="3"/>
        <v>0.7022147</v>
      </c>
      <c r="P12" s="141">
        <f t="shared" si="3"/>
        <v>0.7022147</v>
      </c>
      <c r="Q12" s="140">
        <f t="shared" si="3"/>
        <v>9.128791099999999</v>
      </c>
      <c r="R12" s="139">
        <f t="shared" si="3"/>
        <v>3.9324023199999996</v>
      </c>
      <c r="S12" s="141">
        <f t="shared" si="3"/>
        <v>3.9324023199999996</v>
      </c>
      <c r="U12" s="107"/>
    </row>
    <row r="13" spans="1:21" ht="12.75">
      <c r="A13" s="116" t="s">
        <v>236</v>
      </c>
      <c r="B13" s="131">
        <v>10</v>
      </c>
      <c r="C13" s="132">
        <v>10</v>
      </c>
      <c r="D13" s="133">
        <v>10</v>
      </c>
      <c r="E13" s="131">
        <v>8</v>
      </c>
      <c r="F13" s="132">
        <v>5</v>
      </c>
      <c r="G13" s="133">
        <v>5</v>
      </c>
      <c r="H13" s="131">
        <v>5</v>
      </c>
      <c r="I13" s="132">
        <v>5</v>
      </c>
      <c r="J13" s="133">
        <v>5</v>
      </c>
      <c r="K13" s="131">
        <v>3</v>
      </c>
      <c r="L13" s="132">
        <v>3</v>
      </c>
      <c r="M13" s="133">
        <v>3</v>
      </c>
      <c r="N13" s="134">
        <v>3</v>
      </c>
      <c r="O13" s="132">
        <v>3</v>
      </c>
      <c r="P13" s="133">
        <v>3</v>
      </c>
      <c r="Q13" s="504">
        <v>26</v>
      </c>
      <c r="R13" s="504">
        <v>26</v>
      </c>
      <c r="S13" s="505">
        <v>26</v>
      </c>
      <c r="U13" s="107"/>
    </row>
    <row r="14" spans="1:21" ht="12.75">
      <c r="A14" s="118" t="s">
        <v>233</v>
      </c>
      <c r="B14" s="135" t="s">
        <v>390</v>
      </c>
      <c r="C14" s="106">
        <f>C13*1.59875</f>
        <v>15.987499999999999</v>
      </c>
      <c r="D14" s="137">
        <f>D13*1.59875</f>
        <v>15.987499999999999</v>
      </c>
      <c r="E14" s="135" t="s">
        <v>394</v>
      </c>
      <c r="F14" s="106">
        <v>9.93</v>
      </c>
      <c r="G14" s="137">
        <f>G13*1.59875</f>
        <v>7.9937499999999995</v>
      </c>
      <c r="H14" s="135" t="s">
        <v>397</v>
      </c>
      <c r="I14" s="106">
        <v>9.04</v>
      </c>
      <c r="J14" s="137">
        <v>7.99</v>
      </c>
      <c r="K14" s="135" t="s">
        <v>402</v>
      </c>
      <c r="L14" s="106">
        <v>4.8</v>
      </c>
      <c r="M14" s="137">
        <v>4.8</v>
      </c>
      <c r="N14" s="136" t="s">
        <v>402</v>
      </c>
      <c r="O14" s="106">
        <f>O13*1.59875</f>
        <v>4.79625</v>
      </c>
      <c r="P14" s="137">
        <f>P13*1.59875</f>
        <v>4.79625</v>
      </c>
      <c r="Q14" s="136">
        <f>Q13*1.59875</f>
        <v>41.567499999999995</v>
      </c>
      <c r="R14" s="106">
        <f>R13*1.59875</f>
        <v>41.567499999999995</v>
      </c>
      <c r="S14" s="137">
        <f>S13*1.59875</f>
        <v>41.567499999999995</v>
      </c>
      <c r="U14" s="107"/>
    </row>
    <row r="15" spans="1:21" ht="12.75">
      <c r="A15" s="118" t="s">
        <v>215</v>
      </c>
      <c r="B15" s="135">
        <f>B14*0.3</f>
        <v>4.59</v>
      </c>
      <c r="C15" s="106">
        <f>C14*0.3</f>
        <v>4.79625</v>
      </c>
      <c r="D15" s="137">
        <f>D14*0.3</f>
        <v>4.79625</v>
      </c>
      <c r="E15" s="135">
        <v>2.98</v>
      </c>
      <c r="F15" s="106">
        <v>2.98</v>
      </c>
      <c r="G15" s="137">
        <f>G14*0.3</f>
        <v>2.398125</v>
      </c>
      <c r="H15" s="135">
        <v>2.71</v>
      </c>
      <c r="I15" s="106">
        <v>2.71</v>
      </c>
      <c r="J15" s="137">
        <v>2.4</v>
      </c>
      <c r="K15" s="135">
        <v>1.44</v>
      </c>
      <c r="L15" s="106">
        <v>1.44</v>
      </c>
      <c r="M15" s="137">
        <v>1.44</v>
      </c>
      <c r="N15" s="136">
        <f aca="true" t="shared" si="4" ref="N15:S15">N14*0.3</f>
        <v>1.425</v>
      </c>
      <c r="O15" s="106">
        <f t="shared" si="4"/>
        <v>1.438875</v>
      </c>
      <c r="P15" s="137">
        <f t="shared" si="4"/>
        <v>1.438875</v>
      </c>
      <c r="Q15" s="136">
        <f t="shared" si="4"/>
        <v>12.470249999999998</v>
      </c>
      <c r="R15" s="106">
        <f t="shared" si="4"/>
        <v>12.470249999999998</v>
      </c>
      <c r="S15" s="137">
        <f t="shared" si="4"/>
        <v>12.470249999999998</v>
      </c>
      <c r="U15" s="107"/>
    </row>
    <row r="16" spans="1:21" ht="13.5" thickBot="1">
      <c r="A16" s="119" t="s">
        <v>234</v>
      </c>
      <c r="B16" s="138">
        <f>B14*0.2</f>
        <v>3.0600000000000005</v>
      </c>
      <c r="C16" s="139">
        <f>C14*0.2</f>
        <v>3.1975</v>
      </c>
      <c r="D16" s="141">
        <f>D14*0.2</f>
        <v>3.1975</v>
      </c>
      <c r="E16" s="138">
        <v>1.99</v>
      </c>
      <c r="F16" s="139">
        <v>1.99</v>
      </c>
      <c r="G16" s="141">
        <f>G14*0.2</f>
        <v>1.59875</v>
      </c>
      <c r="H16" s="138">
        <v>1.81</v>
      </c>
      <c r="I16" s="139">
        <v>1.81</v>
      </c>
      <c r="J16" s="141">
        <v>1.6</v>
      </c>
      <c r="K16" s="138">
        <v>0.96</v>
      </c>
      <c r="L16" s="139">
        <v>0.96</v>
      </c>
      <c r="M16" s="141">
        <v>0.96</v>
      </c>
      <c r="N16" s="140">
        <f aca="true" t="shared" si="5" ref="N16:S16">N14*0.2</f>
        <v>0.9500000000000001</v>
      </c>
      <c r="O16" s="139">
        <f t="shared" si="5"/>
        <v>0.9592499999999999</v>
      </c>
      <c r="P16" s="141">
        <f t="shared" si="5"/>
        <v>0.9592499999999999</v>
      </c>
      <c r="Q16" s="140">
        <f t="shared" si="5"/>
        <v>8.3135</v>
      </c>
      <c r="R16" s="139">
        <f t="shared" si="5"/>
        <v>8.3135</v>
      </c>
      <c r="S16" s="141">
        <f t="shared" si="5"/>
        <v>8.3135</v>
      </c>
      <c r="U16" s="107"/>
    </row>
    <row r="17" spans="1:21" ht="12.75">
      <c r="A17" s="116" t="s">
        <v>237</v>
      </c>
      <c r="B17" s="131">
        <v>25</v>
      </c>
      <c r="C17" s="132">
        <v>25</v>
      </c>
      <c r="D17" s="133">
        <v>25</v>
      </c>
      <c r="E17" s="131">
        <v>20</v>
      </c>
      <c r="F17" s="132">
        <v>15</v>
      </c>
      <c r="G17" s="133">
        <v>15</v>
      </c>
      <c r="H17" s="131">
        <v>25</v>
      </c>
      <c r="I17" s="132">
        <v>30</v>
      </c>
      <c r="J17" s="133">
        <v>30</v>
      </c>
      <c r="K17" s="131">
        <v>3</v>
      </c>
      <c r="L17" s="132">
        <v>3</v>
      </c>
      <c r="M17" s="133">
        <v>3</v>
      </c>
      <c r="N17" s="134">
        <v>5</v>
      </c>
      <c r="O17" s="132">
        <v>5</v>
      </c>
      <c r="P17" s="133">
        <v>5</v>
      </c>
      <c r="Q17" s="504">
        <f>B17+E17+H17+K17+N17</f>
        <v>78</v>
      </c>
      <c r="R17" s="504">
        <f>C17+F17+I17+L17+O17</f>
        <v>78</v>
      </c>
      <c r="S17" s="505">
        <f>D17+G17+J17+M17+P17</f>
        <v>78</v>
      </c>
      <c r="U17" s="107"/>
    </row>
    <row r="18" spans="1:21" ht="12.75">
      <c r="A18" s="118" t="s">
        <v>233</v>
      </c>
      <c r="B18" s="135" t="s">
        <v>391</v>
      </c>
      <c r="C18" s="106">
        <v>176.4</v>
      </c>
      <c r="D18" s="137">
        <v>176.4</v>
      </c>
      <c r="E18" s="135" t="s">
        <v>395</v>
      </c>
      <c r="F18" s="106">
        <f>F17*7.23833</f>
        <v>108.57495</v>
      </c>
      <c r="G18" s="137">
        <f>G17*7.23833</f>
        <v>108.57495</v>
      </c>
      <c r="H18" s="135" t="s">
        <v>398</v>
      </c>
      <c r="I18" s="106">
        <v>217.15</v>
      </c>
      <c r="J18" s="137">
        <v>217.5</v>
      </c>
      <c r="K18" s="135" t="s">
        <v>403</v>
      </c>
      <c r="L18" s="106">
        <f>L17*7.23833</f>
        <v>21.71499</v>
      </c>
      <c r="M18" s="137">
        <v>21.71</v>
      </c>
      <c r="N18" s="136" t="s">
        <v>404</v>
      </c>
      <c r="O18" s="106">
        <v>36.19</v>
      </c>
      <c r="P18" s="137">
        <f>P17*7.23833</f>
        <v>36.19165</v>
      </c>
      <c r="Q18" s="142">
        <f>Q17*7.23833</f>
        <v>564.58974</v>
      </c>
      <c r="R18" s="106">
        <f>R17*7.23833</f>
        <v>564.58974</v>
      </c>
      <c r="S18" s="160">
        <f>S17*7.23833</f>
        <v>564.58974</v>
      </c>
      <c r="U18" s="107"/>
    </row>
    <row r="19" spans="1:21" ht="12.75">
      <c r="A19" s="118" t="s">
        <v>215</v>
      </c>
      <c r="B19" s="135">
        <f aca="true" t="shared" si="6" ref="B19:G19">B18*0.38</f>
        <v>67.146</v>
      </c>
      <c r="C19" s="106">
        <f t="shared" si="6"/>
        <v>67.032</v>
      </c>
      <c r="D19" s="137">
        <f t="shared" si="6"/>
        <v>67.032</v>
      </c>
      <c r="E19" s="135">
        <f t="shared" si="6"/>
        <v>54.4274</v>
      </c>
      <c r="F19" s="106">
        <f t="shared" si="6"/>
        <v>41.258481</v>
      </c>
      <c r="G19" s="137">
        <f t="shared" si="6"/>
        <v>41.258481</v>
      </c>
      <c r="H19" s="135">
        <v>82.52</v>
      </c>
      <c r="I19" s="106">
        <v>82.52</v>
      </c>
      <c r="J19" s="137">
        <v>82.52</v>
      </c>
      <c r="K19" s="135">
        <v>8.25</v>
      </c>
      <c r="L19" s="106">
        <v>8.25</v>
      </c>
      <c r="M19" s="137">
        <f aca="true" t="shared" si="7" ref="M19:S19">M18*0.38</f>
        <v>8.2498</v>
      </c>
      <c r="N19" s="136">
        <f t="shared" si="7"/>
        <v>13.243</v>
      </c>
      <c r="O19" s="106">
        <f t="shared" si="7"/>
        <v>13.752199999999998</v>
      </c>
      <c r="P19" s="137">
        <f t="shared" si="7"/>
        <v>13.752827000000002</v>
      </c>
      <c r="Q19" s="142">
        <f t="shared" si="7"/>
        <v>214.5441012</v>
      </c>
      <c r="R19" s="106">
        <f t="shared" si="7"/>
        <v>214.5441012</v>
      </c>
      <c r="S19" s="160">
        <f t="shared" si="7"/>
        <v>214.5441012</v>
      </c>
      <c r="U19" s="107"/>
    </row>
    <row r="20" spans="1:19" ht="13.5" thickBot="1">
      <c r="A20" s="119" t="s">
        <v>234</v>
      </c>
      <c r="B20" s="138">
        <f aca="true" t="shared" si="8" ref="B20:G20">B18*0.12</f>
        <v>21.203999999999997</v>
      </c>
      <c r="C20" s="139">
        <f t="shared" si="8"/>
        <v>21.168</v>
      </c>
      <c r="D20" s="141">
        <f t="shared" si="8"/>
        <v>21.168</v>
      </c>
      <c r="E20" s="138">
        <f t="shared" si="8"/>
        <v>17.1876</v>
      </c>
      <c r="F20" s="139">
        <f t="shared" si="8"/>
        <v>13.028993999999999</v>
      </c>
      <c r="G20" s="141">
        <f t="shared" si="8"/>
        <v>13.028993999999999</v>
      </c>
      <c r="H20" s="138">
        <v>26.06</v>
      </c>
      <c r="I20" s="139">
        <v>26.06</v>
      </c>
      <c r="J20" s="141">
        <v>26.06</v>
      </c>
      <c r="K20" s="138">
        <v>2.61</v>
      </c>
      <c r="L20" s="139">
        <v>2.61</v>
      </c>
      <c r="M20" s="141">
        <f aca="true" t="shared" si="9" ref="M20:S20">M18*0.12</f>
        <v>2.6052</v>
      </c>
      <c r="N20" s="140">
        <f t="shared" si="9"/>
        <v>4.182</v>
      </c>
      <c r="O20" s="139">
        <f t="shared" si="9"/>
        <v>4.3427999999999995</v>
      </c>
      <c r="P20" s="141">
        <f t="shared" si="9"/>
        <v>4.342998000000001</v>
      </c>
      <c r="Q20" s="143">
        <f t="shared" si="9"/>
        <v>67.7507688</v>
      </c>
      <c r="R20" s="139">
        <f t="shared" si="9"/>
        <v>67.7507688</v>
      </c>
      <c r="S20" s="503">
        <f t="shared" si="9"/>
        <v>67.7507688</v>
      </c>
    </row>
    <row r="21" spans="1:19" ht="12.75">
      <c r="A21" s="116" t="s">
        <v>238</v>
      </c>
      <c r="B21" s="131">
        <v>2</v>
      </c>
      <c r="C21" s="132">
        <v>1</v>
      </c>
      <c r="D21" s="133">
        <v>1</v>
      </c>
      <c r="E21" s="131">
        <v>1</v>
      </c>
      <c r="F21" s="132">
        <v>1</v>
      </c>
      <c r="G21" s="133">
        <v>1</v>
      </c>
      <c r="H21" s="131">
        <v>1</v>
      </c>
      <c r="I21" s="132">
        <v>1</v>
      </c>
      <c r="J21" s="133">
        <v>1</v>
      </c>
      <c r="K21" s="131"/>
      <c r="L21" s="132"/>
      <c r="M21" s="133"/>
      <c r="N21" s="134"/>
      <c r="O21" s="132"/>
      <c r="P21" s="133"/>
      <c r="Q21" s="504">
        <v>4</v>
      </c>
      <c r="R21" s="504">
        <v>4</v>
      </c>
      <c r="S21" s="505">
        <f>D21+G21+J21+M21+P21</f>
        <v>3</v>
      </c>
    </row>
    <row r="22" spans="1:19" ht="12.75">
      <c r="A22" s="118" t="s">
        <v>233</v>
      </c>
      <c r="B22" s="135">
        <v>305</v>
      </c>
      <c r="C22" s="106">
        <v>120</v>
      </c>
      <c r="D22" s="137">
        <v>92.67</v>
      </c>
      <c r="E22" s="135">
        <v>138</v>
      </c>
      <c r="F22" s="106">
        <v>123</v>
      </c>
      <c r="G22" s="137">
        <v>138</v>
      </c>
      <c r="H22" s="135">
        <v>138</v>
      </c>
      <c r="I22" s="106">
        <v>120</v>
      </c>
      <c r="J22" s="137">
        <v>114.89</v>
      </c>
      <c r="K22" s="135"/>
      <c r="L22" s="106"/>
      <c r="M22" s="137"/>
      <c r="N22" s="136"/>
      <c r="O22" s="106"/>
      <c r="P22" s="137"/>
      <c r="Q22" s="106">
        <f>Q21*119.235</f>
        <v>476.94</v>
      </c>
      <c r="R22" s="106">
        <f>R21*105.064</f>
        <v>420.256</v>
      </c>
      <c r="S22" s="106">
        <f>S21*98.61</f>
        <v>295.83</v>
      </c>
    </row>
    <row r="23" spans="1:19" ht="12.75">
      <c r="A23" s="118" t="s">
        <v>215</v>
      </c>
      <c r="B23" s="135">
        <v>30</v>
      </c>
      <c r="C23" s="135">
        <v>30</v>
      </c>
      <c r="D23" s="156">
        <v>23.17</v>
      </c>
      <c r="E23" s="498">
        <f>E22*0.25</f>
        <v>34.5</v>
      </c>
      <c r="F23" s="142">
        <f>F22*0.25</f>
        <v>30.75</v>
      </c>
      <c r="G23" s="137">
        <f>G22*0.25</f>
        <v>34.5</v>
      </c>
      <c r="H23" s="135">
        <v>30</v>
      </c>
      <c r="I23" s="106">
        <v>30</v>
      </c>
      <c r="J23" s="137">
        <v>28.72</v>
      </c>
      <c r="K23" s="135"/>
      <c r="L23" s="106"/>
      <c r="M23" s="137"/>
      <c r="N23" s="136"/>
      <c r="O23" s="106"/>
      <c r="P23" s="137"/>
      <c r="Q23" s="498">
        <f>Q22*0.25</f>
        <v>119.235</v>
      </c>
      <c r="R23" s="498">
        <f>R22*0.25</f>
        <v>105.064</v>
      </c>
      <c r="S23" s="498">
        <f>S22*0.25</f>
        <v>73.9575</v>
      </c>
    </row>
    <row r="24" spans="1:19" ht="13.5" thickBot="1">
      <c r="A24" s="119" t="s">
        <v>234</v>
      </c>
      <c r="B24" s="138">
        <v>24</v>
      </c>
      <c r="C24" s="138">
        <v>24</v>
      </c>
      <c r="D24" s="157">
        <f>D22*0.2</f>
        <v>18.534000000000002</v>
      </c>
      <c r="E24" s="499">
        <f>E22*0.2</f>
        <v>27.6</v>
      </c>
      <c r="F24" s="143">
        <f>F22*0.2</f>
        <v>24.6</v>
      </c>
      <c r="G24" s="141">
        <f>G22*0.2</f>
        <v>27.6</v>
      </c>
      <c r="H24" s="138">
        <v>24</v>
      </c>
      <c r="I24" s="139">
        <v>24</v>
      </c>
      <c r="J24" s="141">
        <v>22.98</v>
      </c>
      <c r="K24" s="138"/>
      <c r="L24" s="139"/>
      <c r="M24" s="141"/>
      <c r="N24" s="140"/>
      <c r="O24" s="139"/>
      <c r="P24" s="141"/>
      <c r="Q24" s="499">
        <f>Q22*0.2</f>
        <v>95.388</v>
      </c>
      <c r="R24" s="143">
        <f>R22*0.2</f>
        <v>84.0512</v>
      </c>
      <c r="S24" s="141">
        <f>S22*0.2</f>
        <v>59.166</v>
      </c>
    </row>
    <row r="25" spans="1:19" ht="13.5" thickBot="1">
      <c r="A25" s="124" t="s">
        <v>239</v>
      </c>
      <c r="B25" s="144"/>
      <c r="C25" s="145"/>
      <c r="D25" s="146"/>
      <c r="E25" s="144"/>
      <c r="F25" s="145"/>
      <c r="G25" s="146"/>
      <c r="H25" s="144"/>
      <c r="I25" s="145"/>
      <c r="J25" s="146"/>
      <c r="K25" s="144"/>
      <c r="L25" s="145"/>
      <c r="M25" s="146"/>
      <c r="N25" s="147"/>
      <c r="O25" s="145"/>
      <c r="P25" s="146"/>
      <c r="Q25" s="145">
        <v>1.4</v>
      </c>
      <c r="R25" s="145">
        <v>1.5</v>
      </c>
      <c r="S25" s="146">
        <v>2.5</v>
      </c>
    </row>
    <row r="26" spans="1:19" ht="39" thickBot="1">
      <c r="A26" s="155" t="s">
        <v>245</v>
      </c>
      <c r="B26" s="358">
        <v>5</v>
      </c>
      <c r="C26" s="359">
        <v>7</v>
      </c>
      <c r="D26" s="360">
        <v>5</v>
      </c>
      <c r="E26" s="358">
        <v>5</v>
      </c>
      <c r="F26" s="359">
        <v>6</v>
      </c>
      <c r="G26" s="360">
        <v>5</v>
      </c>
      <c r="H26" s="358">
        <v>6</v>
      </c>
      <c r="I26" s="359">
        <v>6</v>
      </c>
      <c r="J26" s="360">
        <v>6</v>
      </c>
      <c r="K26" s="358">
        <v>8</v>
      </c>
      <c r="L26" s="359">
        <v>9</v>
      </c>
      <c r="M26" s="360">
        <v>10</v>
      </c>
      <c r="N26" s="361">
        <v>3</v>
      </c>
      <c r="O26" s="359">
        <v>4</v>
      </c>
      <c r="P26" s="360">
        <v>4</v>
      </c>
      <c r="Q26" s="158">
        <f>B26+E26+H26+K26+N26</f>
        <v>27</v>
      </c>
      <c r="R26" s="158">
        <f>C26+F26+I26+L26+O26</f>
        <v>32</v>
      </c>
      <c r="S26" s="159">
        <f>D26+G26+J26+M26+P26</f>
        <v>30</v>
      </c>
    </row>
    <row r="27" spans="2:19" ht="13.5" thickBot="1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>
        <v>0</v>
      </c>
      <c r="R27" s="149">
        <v>0.4</v>
      </c>
      <c r="S27" s="149">
        <v>0.5</v>
      </c>
    </row>
    <row r="28" spans="1:23" ht="13.5" thickBot="1">
      <c r="A28" s="120" t="s">
        <v>240</v>
      </c>
      <c r="B28" s="144">
        <f>B5+B9+B13+B17+B21</f>
        <v>87</v>
      </c>
      <c r="C28" s="145">
        <f>C5+C9+C13+C17+C21</f>
        <v>141</v>
      </c>
      <c r="D28" s="146">
        <f aca="true" t="shared" si="10" ref="D28:P28">D5+D9+D13+D17+D21</f>
        <v>141</v>
      </c>
      <c r="E28" s="144">
        <f t="shared" si="10"/>
        <v>54</v>
      </c>
      <c r="F28" s="145">
        <f t="shared" si="10"/>
        <v>36</v>
      </c>
      <c r="G28" s="146">
        <f t="shared" si="10"/>
        <v>36</v>
      </c>
      <c r="H28" s="144">
        <f t="shared" si="10"/>
        <v>51</v>
      </c>
      <c r="I28" s="145">
        <f t="shared" si="10"/>
        <v>46</v>
      </c>
      <c r="J28" s="146">
        <f t="shared" si="10"/>
        <v>46</v>
      </c>
      <c r="K28" s="144">
        <f t="shared" si="10"/>
        <v>14</v>
      </c>
      <c r="L28" s="145">
        <f t="shared" si="10"/>
        <v>14</v>
      </c>
      <c r="M28" s="146">
        <f t="shared" si="10"/>
        <v>14</v>
      </c>
      <c r="N28" s="144">
        <f t="shared" si="10"/>
        <v>18</v>
      </c>
      <c r="O28" s="145">
        <f t="shared" si="10"/>
        <v>18</v>
      </c>
      <c r="P28" s="146">
        <f t="shared" si="10"/>
        <v>18</v>
      </c>
      <c r="Q28" s="150">
        <f aca="true" t="shared" si="11" ref="Q28:S29">Q5+Q9+Q13+Q17+Q21</f>
        <v>258</v>
      </c>
      <c r="R28" s="150">
        <f t="shared" si="11"/>
        <v>221</v>
      </c>
      <c r="S28" s="150">
        <f t="shared" si="11"/>
        <v>220</v>
      </c>
      <c r="W28">
        <f>220/12*9</f>
        <v>165</v>
      </c>
    </row>
    <row r="29" spans="1:23" ht="12.75">
      <c r="A29" s="121" t="s">
        <v>241</v>
      </c>
      <c r="B29" s="131" t="s">
        <v>392</v>
      </c>
      <c r="C29" s="132">
        <f aca="true" t="shared" si="12" ref="C29:P29">C6+C10+C14+C18+C22</f>
        <v>349.10322</v>
      </c>
      <c r="D29" s="133">
        <f t="shared" si="12"/>
        <v>321.77322000000004</v>
      </c>
      <c r="E29" s="131" t="s">
        <v>408</v>
      </c>
      <c r="F29" s="132">
        <f t="shared" si="12"/>
        <v>246.27495</v>
      </c>
      <c r="G29" s="133">
        <f t="shared" si="12"/>
        <v>259.3387</v>
      </c>
      <c r="H29" s="131" t="s">
        <v>407</v>
      </c>
      <c r="I29" s="132">
        <f t="shared" si="12"/>
        <v>349.37</v>
      </c>
      <c r="J29" s="133">
        <f t="shared" si="12"/>
        <v>343.56</v>
      </c>
      <c r="K29" s="131" t="s">
        <v>406</v>
      </c>
      <c r="L29" s="132">
        <f t="shared" si="12"/>
        <v>29.55499</v>
      </c>
      <c r="M29" s="133">
        <f t="shared" si="12"/>
        <v>29.55</v>
      </c>
      <c r="N29" s="131" t="s">
        <v>405</v>
      </c>
      <c r="O29" s="132">
        <f t="shared" si="12"/>
        <v>44.997679999999995</v>
      </c>
      <c r="P29" s="133">
        <f t="shared" si="12"/>
        <v>44.99933</v>
      </c>
      <c r="Q29" s="506">
        <f t="shared" si="11"/>
        <v>1141.60583</v>
      </c>
      <c r="R29" s="506">
        <f t="shared" si="11"/>
        <v>1067.003248</v>
      </c>
      <c r="S29" s="506">
        <f t="shared" si="11"/>
        <v>942.577248</v>
      </c>
      <c r="T29" s="509" t="s">
        <v>359</v>
      </c>
      <c r="U29" s="509"/>
      <c r="W29">
        <f>R29/12*9</f>
        <v>800.252436</v>
      </c>
    </row>
    <row r="30" spans="1:23" ht="13.5" thickBot="1">
      <c r="A30" s="119" t="s">
        <v>253</v>
      </c>
      <c r="B30" s="138">
        <f>B29/10</f>
        <v>51.35</v>
      </c>
      <c r="C30" s="139">
        <f aca="true" t="shared" si="13" ref="C30:S30">C29/10</f>
        <v>34.910322</v>
      </c>
      <c r="D30" s="141">
        <f t="shared" si="13"/>
        <v>32.177322000000004</v>
      </c>
      <c r="E30" s="138">
        <f t="shared" si="13"/>
        <v>30.034</v>
      </c>
      <c r="F30" s="139">
        <f t="shared" si="13"/>
        <v>24.627495</v>
      </c>
      <c r="G30" s="141">
        <f t="shared" si="13"/>
        <v>25.933870000000002</v>
      </c>
      <c r="H30" s="138">
        <f t="shared" si="13"/>
        <v>32.747</v>
      </c>
      <c r="I30" s="139">
        <f t="shared" si="13"/>
        <v>34.937</v>
      </c>
      <c r="J30" s="141">
        <f t="shared" si="13"/>
        <v>34.356</v>
      </c>
      <c r="K30" s="138">
        <f t="shared" si="13"/>
        <v>2.8649999999999998</v>
      </c>
      <c r="L30" s="139">
        <f t="shared" si="13"/>
        <v>2.955499</v>
      </c>
      <c r="M30" s="141">
        <f t="shared" si="13"/>
        <v>2.955</v>
      </c>
      <c r="N30" s="138">
        <f t="shared" si="13"/>
        <v>4.26</v>
      </c>
      <c r="O30" s="139">
        <f t="shared" si="13"/>
        <v>4.4997679999999995</v>
      </c>
      <c r="P30" s="141">
        <f t="shared" si="13"/>
        <v>4.499933</v>
      </c>
      <c r="Q30" s="167">
        <f t="shared" si="13"/>
        <v>114.160583</v>
      </c>
      <c r="R30" s="168">
        <f t="shared" si="13"/>
        <v>106.7003248</v>
      </c>
      <c r="S30" s="169">
        <f t="shared" si="13"/>
        <v>94.2577248</v>
      </c>
      <c r="W30">
        <f>106.7/12*9</f>
        <v>80.025</v>
      </c>
    </row>
    <row r="31" spans="1:21" ht="12.75">
      <c r="A31" s="121" t="s">
        <v>242</v>
      </c>
      <c r="B31" s="131">
        <f>B7+B11+B15+B19+B23</f>
        <v>106.6980016</v>
      </c>
      <c r="C31" s="132">
        <f aca="true" t="shared" si="14" ref="C31:R31">C7+C11+C15+C19+C23</f>
        <v>111.2977516</v>
      </c>
      <c r="D31" s="133">
        <f t="shared" si="14"/>
        <v>104.4677516</v>
      </c>
      <c r="E31" s="131">
        <f t="shared" si="14"/>
        <v>93.0974</v>
      </c>
      <c r="F31" s="132">
        <f t="shared" si="14"/>
        <v>76.178481</v>
      </c>
      <c r="G31" s="133">
        <f t="shared" si="14"/>
        <v>79.34660600000001</v>
      </c>
      <c r="H31" s="131">
        <f t="shared" si="14"/>
        <v>116.03</v>
      </c>
      <c r="I31" s="132">
        <f t="shared" si="14"/>
        <v>116.03</v>
      </c>
      <c r="J31" s="133">
        <f t="shared" si="14"/>
        <v>114.44</v>
      </c>
      <c r="K31" s="131">
        <f t="shared" si="14"/>
        <v>10.5</v>
      </c>
      <c r="L31" s="132">
        <f t="shared" si="14"/>
        <v>10.5</v>
      </c>
      <c r="M31" s="133">
        <f t="shared" si="14"/>
        <v>10.4998</v>
      </c>
      <c r="N31" s="131">
        <f t="shared" si="14"/>
        <v>15.743</v>
      </c>
      <c r="O31" s="132">
        <f t="shared" si="14"/>
        <v>16.266575399999997</v>
      </c>
      <c r="P31" s="133">
        <f t="shared" si="14"/>
        <v>16.267202400000002</v>
      </c>
      <c r="Q31" s="134">
        <f t="shared" si="14"/>
        <v>361.8208564</v>
      </c>
      <c r="R31" s="132">
        <f t="shared" si="14"/>
        <v>342.63265344</v>
      </c>
      <c r="S31" s="133">
        <f>S7+S11+S15+S19+S23</f>
        <v>311.52615344</v>
      </c>
      <c r="U31" s="148"/>
    </row>
    <row r="32" spans="1:19" ht="13.5" thickBot="1">
      <c r="A32" s="119" t="s">
        <v>254</v>
      </c>
      <c r="B32" s="138">
        <f>B31/10</f>
        <v>10.66980016</v>
      </c>
      <c r="C32" s="139">
        <f aca="true" t="shared" si="15" ref="C32:S32">C31/10</f>
        <v>11.12977516</v>
      </c>
      <c r="D32" s="141">
        <f t="shared" si="15"/>
        <v>10.44677516</v>
      </c>
      <c r="E32" s="138">
        <f t="shared" si="15"/>
        <v>9.30974</v>
      </c>
      <c r="F32" s="139">
        <f t="shared" si="15"/>
        <v>7.617848100000001</v>
      </c>
      <c r="G32" s="141">
        <f t="shared" si="15"/>
        <v>7.934660600000001</v>
      </c>
      <c r="H32" s="138">
        <f t="shared" si="15"/>
        <v>11.603</v>
      </c>
      <c r="I32" s="139">
        <f t="shared" si="15"/>
        <v>11.603</v>
      </c>
      <c r="J32" s="141">
        <f t="shared" si="15"/>
        <v>11.443999999999999</v>
      </c>
      <c r="K32" s="138">
        <f t="shared" si="15"/>
        <v>1.05</v>
      </c>
      <c r="L32" s="139">
        <f t="shared" si="15"/>
        <v>1.05</v>
      </c>
      <c r="M32" s="141">
        <f t="shared" si="15"/>
        <v>1.0499800000000001</v>
      </c>
      <c r="N32" s="138">
        <f t="shared" si="15"/>
        <v>1.5743</v>
      </c>
      <c r="O32" s="139">
        <f t="shared" si="15"/>
        <v>1.6266575399999996</v>
      </c>
      <c r="P32" s="141">
        <f t="shared" si="15"/>
        <v>1.6267202400000003</v>
      </c>
      <c r="Q32" s="164">
        <f t="shared" si="15"/>
        <v>36.182085640000004</v>
      </c>
      <c r="R32" s="165">
        <f t="shared" si="15"/>
        <v>34.263265344000004</v>
      </c>
      <c r="S32" s="166">
        <f t="shared" si="15"/>
        <v>31.152615343999997</v>
      </c>
    </row>
    <row r="33" spans="1:19" ht="12.75">
      <c r="A33" s="122" t="s">
        <v>243</v>
      </c>
      <c r="B33" s="151">
        <f>B8+B12+B16+B20+B24</f>
        <v>53.5928588</v>
      </c>
      <c r="C33" s="152">
        <f aca="true" t="shared" si="16" ref="C33:S33">C8+C12+C16+C20+C24</f>
        <v>58.742758800000004</v>
      </c>
      <c r="D33" s="153">
        <f t="shared" si="16"/>
        <v>53.27675880000001</v>
      </c>
      <c r="E33" s="151">
        <f t="shared" si="16"/>
        <v>48.1176</v>
      </c>
      <c r="F33" s="152">
        <f t="shared" si="16"/>
        <v>40.958994000000004</v>
      </c>
      <c r="G33" s="153">
        <f t="shared" si="16"/>
        <v>43.567744000000005</v>
      </c>
      <c r="H33" s="151">
        <f t="shared" si="16"/>
        <v>52.76</v>
      </c>
      <c r="I33" s="152">
        <f t="shared" si="16"/>
        <v>52.76</v>
      </c>
      <c r="J33" s="153">
        <f t="shared" si="16"/>
        <v>51.53</v>
      </c>
      <c r="K33" s="151">
        <f t="shared" si="16"/>
        <v>4.4399999999999995</v>
      </c>
      <c r="L33" s="152">
        <f t="shared" si="16"/>
        <v>4.4399999999999995</v>
      </c>
      <c r="M33" s="153">
        <f t="shared" si="16"/>
        <v>4.4352</v>
      </c>
      <c r="N33" s="151">
        <f t="shared" si="16"/>
        <v>6.277000000000001</v>
      </c>
      <c r="O33" s="152">
        <f t="shared" si="16"/>
        <v>6.4494647</v>
      </c>
      <c r="P33" s="153">
        <f t="shared" si="16"/>
        <v>6.449662700000001</v>
      </c>
      <c r="Q33" s="154">
        <f t="shared" si="16"/>
        <v>188.1494599</v>
      </c>
      <c r="R33" s="152">
        <f t="shared" si="16"/>
        <v>171.61627112</v>
      </c>
      <c r="S33" s="153">
        <f t="shared" si="16"/>
        <v>146.73107112</v>
      </c>
    </row>
    <row r="34" spans="1:19" ht="13.5" thickBot="1">
      <c r="A34" s="119" t="s">
        <v>244</v>
      </c>
      <c r="B34" s="138">
        <f>B33/10</f>
        <v>5.35928588</v>
      </c>
      <c r="C34" s="139">
        <f aca="true" t="shared" si="17" ref="C34:S34">C33/10</f>
        <v>5.874275880000001</v>
      </c>
      <c r="D34" s="141">
        <f t="shared" si="17"/>
        <v>5.327675880000001</v>
      </c>
      <c r="E34" s="138">
        <f t="shared" si="17"/>
        <v>4.8117600000000005</v>
      </c>
      <c r="F34" s="139">
        <f t="shared" si="17"/>
        <v>4.0958994</v>
      </c>
      <c r="G34" s="141">
        <f t="shared" si="17"/>
        <v>4.356774400000001</v>
      </c>
      <c r="H34" s="138">
        <f t="shared" si="17"/>
        <v>5.276</v>
      </c>
      <c r="I34" s="139">
        <f t="shared" si="17"/>
        <v>5.276</v>
      </c>
      <c r="J34" s="141">
        <f t="shared" si="17"/>
        <v>5.1530000000000005</v>
      </c>
      <c r="K34" s="138">
        <f t="shared" si="17"/>
        <v>0.44399999999999995</v>
      </c>
      <c r="L34" s="139">
        <f t="shared" si="17"/>
        <v>0.44399999999999995</v>
      </c>
      <c r="M34" s="141">
        <f t="shared" si="17"/>
        <v>0.44352</v>
      </c>
      <c r="N34" s="138">
        <f t="shared" si="17"/>
        <v>0.6277000000000001</v>
      </c>
      <c r="O34" s="139">
        <f t="shared" si="17"/>
        <v>0.64494647</v>
      </c>
      <c r="P34" s="141">
        <f t="shared" si="17"/>
        <v>0.6449662700000001</v>
      </c>
      <c r="Q34" s="161">
        <f t="shared" si="17"/>
        <v>18.814945990000002</v>
      </c>
      <c r="R34" s="162">
        <f t="shared" si="17"/>
        <v>17.161627111999998</v>
      </c>
      <c r="S34" s="163">
        <f t="shared" si="17"/>
        <v>14.673107112</v>
      </c>
    </row>
    <row r="35" ht="12.75">
      <c r="Q35">
        <v>75.6</v>
      </c>
    </row>
    <row r="36" ht="13.5" thickBot="1"/>
    <row r="37" spans="17:19" ht="12.75">
      <c r="Q37" s="506">
        <v>1123.48</v>
      </c>
      <c r="R37" s="507">
        <v>1067</v>
      </c>
      <c r="S37" s="508">
        <v>943.58</v>
      </c>
    </row>
    <row r="49" spans="2:3" ht="12.75">
      <c r="B49" s="123"/>
      <c r="C49" s="123"/>
    </row>
    <row r="52" spans="2:3" ht="12.75">
      <c r="B52" s="123"/>
      <c r="C52" s="123"/>
    </row>
  </sheetData>
  <sheetProtection/>
  <mergeCells count="7">
    <mergeCell ref="Q2:S2"/>
    <mergeCell ref="A2:A4"/>
    <mergeCell ref="B2:D2"/>
    <mergeCell ref="E2:G2"/>
    <mergeCell ref="H2:J2"/>
    <mergeCell ref="K2:M2"/>
    <mergeCell ref="N2:P2"/>
  </mergeCells>
  <printOptions/>
  <pageMargins left="0.31496062992125984" right="0" top="0.7480314960629921" bottom="0.7480314960629921" header="0" footer="0"/>
  <pageSetup horizontalDpi="600" verticalDpi="600" orientation="landscape" paperSize="9" scale="81" r:id="rId1"/>
  <colBreaks count="1" manualBreakCount="1">
    <brk id="19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8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50.25390625" style="86" customWidth="1"/>
    <col min="2" max="2" width="9.125" style="86" bestFit="1" customWidth="1"/>
    <col min="3" max="3" width="11.00390625" style="86" bestFit="1" customWidth="1"/>
    <col min="4" max="4" width="10.625" style="86" customWidth="1"/>
    <col min="5" max="5" width="13.75390625" style="86" customWidth="1"/>
    <col min="6" max="8" width="11.00390625" style="86" bestFit="1" customWidth="1"/>
    <col min="9" max="10" width="10.875" style="86" bestFit="1" customWidth="1"/>
    <col min="11" max="11" width="10.125" style="86" bestFit="1" customWidth="1"/>
    <col min="12" max="12" width="9.375" style="86" bestFit="1" customWidth="1"/>
    <col min="13" max="14" width="9.125" style="86" customWidth="1"/>
    <col min="15" max="15" width="9.25390625" style="86" bestFit="1" customWidth="1"/>
    <col min="16" max="16384" width="9.125" style="86" customWidth="1"/>
  </cols>
  <sheetData>
    <row r="1" spans="1:12" ht="21" thickBot="1">
      <c r="A1" s="1450" t="s">
        <v>280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</row>
    <row r="2" spans="1:12" ht="12.75">
      <c r="A2" s="1459"/>
      <c r="B2" s="1457" t="s">
        <v>287</v>
      </c>
      <c r="C2" s="248" t="s">
        <v>2</v>
      </c>
      <c r="D2" s="248" t="s">
        <v>2</v>
      </c>
      <c r="E2" s="248" t="s">
        <v>2</v>
      </c>
      <c r="F2" s="248" t="s">
        <v>2</v>
      </c>
      <c r="G2" s="248" t="s">
        <v>2</v>
      </c>
      <c r="H2" s="248" t="s">
        <v>283</v>
      </c>
      <c r="I2" s="248" t="s">
        <v>4</v>
      </c>
      <c r="J2" s="248" t="s">
        <v>4</v>
      </c>
      <c r="K2" s="248" t="s">
        <v>4</v>
      </c>
      <c r="L2" s="622" t="s">
        <v>4</v>
      </c>
    </row>
    <row r="3" spans="1:12" ht="13.5" thickBot="1">
      <c r="A3" s="1460"/>
      <c r="B3" s="1458"/>
      <c r="C3" s="250">
        <v>2013</v>
      </c>
      <c r="D3" s="250">
        <v>2014</v>
      </c>
      <c r="E3" s="250">
        <v>2015</v>
      </c>
      <c r="F3" s="250">
        <v>2016</v>
      </c>
      <c r="G3" s="250">
        <v>2017</v>
      </c>
      <c r="H3" s="250">
        <v>2018</v>
      </c>
      <c r="I3" s="250">
        <v>2019</v>
      </c>
      <c r="J3" s="250">
        <v>2020</v>
      </c>
      <c r="K3" s="250">
        <v>2021</v>
      </c>
      <c r="L3" s="251">
        <v>2022</v>
      </c>
    </row>
    <row r="4" spans="1:12" ht="19.5" thickBot="1">
      <c r="A4" s="1454" t="s">
        <v>276</v>
      </c>
      <c r="B4" s="1455"/>
      <c r="C4" s="1455"/>
      <c r="D4" s="1455"/>
      <c r="E4" s="1455"/>
      <c r="F4" s="1455"/>
      <c r="G4" s="1455"/>
      <c r="H4" s="1455"/>
      <c r="I4" s="1455"/>
      <c r="J4" s="1455"/>
      <c r="K4" s="1455"/>
      <c r="L4" s="1456"/>
    </row>
    <row r="5" spans="1:12" ht="16.5">
      <c r="A5" s="611" t="s">
        <v>286</v>
      </c>
      <c r="B5" s="612" t="s">
        <v>281</v>
      </c>
      <c r="C5" s="486">
        <f aca="true" t="shared" si="0" ref="C5:H5">C6+C7</f>
        <v>70.54</v>
      </c>
      <c r="D5" s="486">
        <f t="shared" si="0"/>
        <v>52.929</v>
      </c>
      <c r="E5" s="486">
        <f t="shared" si="0"/>
        <v>68.285</v>
      </c>
      <c r="F5" s="486">
        <f t="shared" si="0"/>
        <v>61.02</v>
      </c>
      <c r="G5" s="486">
        <f t="shared" si="0"/>
        <v>63.202999999999996</v>
      </c>
      <c r="H5" s="349">
        <f t="shared" si="0"/>
        <v>64.488</v>
      </c>
      <c r="I5" s="354">
        <f>I6+I7</f>
        <v>70.20400000000001</v>
      </c>
      <c r="J5" s="486">
        <f>J6+J7</f>
        <v>70.90604</v>
      </c>
      <c r="K5" s="486">
        <f>K6+K7</f>
        <v>71.6151004</v>
      </c>
      <c r="L5" s="274"/>
    </row>
    <row r="6" spans="1:12" ht="15">
      <c r="A6" s="243" t="s">
        <v>166</v>
      </c>
      <c r="B6" s="246" t="s">
        <v>281</v>
      </c>
      <c r="C6" s="489">
        <v>70.483</v>
      </c>
      <c r="D6" s="489">
        <v>52.901</v>
      </c>
      <c r="E6" s="489">
        <v>68.228</v>
      </c>
      <c r="F6" s="489">
        <v>61</v>
      </c>
      <c r="G6" s="489">
        <v>63.181</v>
      </c>
      <c r="H6" s="350">
        <v>64.466</v>
      </c>
      <c r="I6" s="355">
        <v>70.182</v>
      </c>
      <c r="J6" s="489">
        <f aca="true" t="shared" si="1" ref="J6:K11">I6*101%</f>
        <v>70.88382</v>
      </c>
      <c r="K6" s="489">
        <f t="shared" si="1"/>
        <v>71.5926582</v>
      </c>
      <c r="L6" s="278"/>
    </row>
    <row r="7" spans="1:12" ht="15">
      <c r="A7" s="243" t="s">
        <v>282</v>
      </c>
      <c r="B7" s="246" t="s">
        <v>281</v>
      </c>
      <c r="C7" s="489">
        <v>0.057</v>
      </c>
      <c r="D7" s="489">
        <v>0.028</v>
      </c>
      <c r="E7" s="489">
        <v>0.057</v>
      </c>
      <c r="F7" s="489">
        <v>0.02</v>
      </c>
      <c r="G7" s="489">
        <v>0.022</v>
      </c>
      <c r="H7" s="350">
        <v>0.022</v>
      </c>
      <c r="I7" s="355">
        <v>0.022</v>
      </c>
      <c r="J7" s="489">
        <f t="shared" si="1"/>
        <v>0.02222</v>
      </c>
      <c r="K7" s="489">
        <f t="shared" si="1"/>
        <v>0.0224422</v>
      </c>
      <c r="L7" s="278"/>
    </row>
    <row r="8" spans="1:15" ht="16.5">
      <c r="A8" s="609" t="s">
        <v>288</v>
      </c>
      <c r="B8" s="610" t="s">
        <v>26</v>
      </c>
      <c r="C8" s="490">
        <v>51433</v>
      </c>
      <c r="D8" s="490">
        <v>48783</v>
      </c>
      <c r="E8" s="490">
        <v>48179</v>
      </c>
      <c r="F8" s="490">
        <v>42808</v>
      </c>
      <c r="G8" s="490">
        <v>44444</v>
      </c>
      <c r="H8" s="351">
        <v>45054</v>
      </c>
      <c r="I8" s="356">
        <v>48860</v>
      </c>
      <c r="J8" s="490">
        <f t="shared" si="1"/>
        <v>49348.6</v>
      </c>
      <c r="K8" s="490">
        <f t="shared" si="1"/>
        <v>49842.085999999996</v>
      </c>
      <c r="L8" s="273"/>
      <c r="O8" s="408">
        <f>49134/12*10</f>
        <v>40945</v>
      </c>
    </row>
    <row r="9" spans="1:12" ht="15">
      <c r="A9" s="244" t="s">
        <v>284</v>
      </c>
      <c r="B9" s="246" t="s">
        <v>26</v>
      </c>
      <c r="C9" s="489">
        <v>28334</v>
      </c>
      <c r="D9" s="489">
        <v>41104</v>
      </c>
      <c r="E9" s="489">
        <v>41086</v>
      </c>
      <c r="F9" s="489">
        <v>35340</v>
      </c>
      <c r="G9" s="489">
        <v>37197</v>
      </c>
      <c r="H9" s="350">
        <v>36915</v>
      </c>
      <c r="I9" s="355">
        <v>40111</v>
      </c>
      <c r="J9" s="489">
        <f t="shared" si="1"/>
        <v>40512.11</v>
      </c>
      <c r="K9" s="489">
        <f t="shared" si="1"/>
        <v>40917.231100000005</v>
      </c>
      <c r="L9" s="278"/>
    </row>
    <row r="10" spans="1:12" ht="15">
      <c r="A10" s="244" t="s">
        <v>285</v>
      </c>
      <c r="B10" s="246" t="s">
        <v>26</v>
      </c>
      <c r="C10" s="489">
        <v>154</v>
      </c>
      <c r="D10" s="489">
        <v>126</v>
      </c>
      <c r="E10" s="489">
        <v>99</v>
      </c>
      <c r="F10" s="489">
        <v>178</v>
      </c>
      <c r="G10" s="489">
        <v>247</v>
      </c>
      <c r="H10" s="350">
        <v>452</v>
      </c>
      <c r="I10" s="355">
        <v>531</v>
      </c>
      <c r="J10" s="489">
        <f t="shared" si="1"/>
        <v>536.3100000000001</v>
      </c>
      <c r="K10" s="489">
        <f t="shared" si="1"/>
        <v>541.6731000000001</v>
      </c>
      <c r="L10" s="278"/>
    </row>
    <row r="11" spans="1:12" ht="15">
      <c r="A11" s="271" t="s">
        <v>291</v>
      </c>
      <c r="B11" s="246" t="s">
        <v>26</v>
      </c>
      <c r="C11" s="755">
        <v>3515</v>
      </c>
      <c r="D11" s="755">
        <v>3542</v>
      </c>
      <c r="E11" s="755">
        <v>3336</v>
      </c>
      <c r="F11" s="489">
        <v>3727</v>
      </c>
      <c r="G11" s="489">
        <v>3557</v>
      </c>
      <c r="H11" s="350">
        <v>3656</v>
      </c>
      <c r="I11" s="355">
        <v>3557</v>
      </c>
      <c r="J11" s="489">
        <f t="shared" si="1"/>
        <v>3592.57</v>
      </c>
      <c r="K11" s="489">
        <f t="shared" si="1"/>
        <v>3628.4957000000004</v>
      </c>
      <c r="L11" s="279"/>
    </row>
    <row r="12" spans="1:12" ht="17.25" thickBot="1">
      <c r="A12" s="249" t="s">
        <v>289</v>
      </c>
      <c r="B12" s="250" t="s">
        <v>23</v>
      </c>
      <c r="C12" s="613">
        <v>655.1</v>
      </c>
      <c r="D12" s="613">
        <v>668.3</v>
      </c>
      <c r="E12" s="613">
        <v>680.4</v>
      </c>
      <c r="F12" s="613">
        <v>391</v>
      </c>
      <c r="G12" s="613">
        <v>180.73</v>
      </c>
      <c r="H12" s="352">
        <v>196.848</v>
      </c>
      <c r="I12" s="357">
        <v>231.817</v>
      </c>
      <c r="J12" s="613">
        <f>I12*106%</f>
        <v>245.72602000000003</v>
      </c>
      <c r="K12" s="613">
        <f>J12*106%</f>
        <v>260.46958120000005</v>
      </c>
      <c r="L12" s="256"/>
    </row>
    <row r="13" spans="1:12" ht="19.5" thickBot="1">
      <c r="A13" s="1454" t="s">
        <v>277</v>
      </c>
      <c r="B13" s="1455"/>
      <c r="C13" s="1455"/>
      <c r="D13" s="1455"/>
      <c r="E13" s="1455"/>
      <c r="F13" s="1455"/>
      <c r="G13" s="1455"/>
      <c r="H13" s="1455"/>
      <c r="I13" s="1455"/>
      <c r="J13" s="1455"/>
      <c r="K13" s="1455"/>
      <c r="L13" s="1456"/>
    </row>
    <row r="14" spans="1:12" ht="16.5">
      <c r="A14" s="756" t="s">
        <v>286</v>
      </c>
      <c r="B14" s="757" t="s">
        <v>281</v>
      </c>
      <c r="C14" s="486">
        <f>C15+C16</f>
        <v>11.03</v>
      </c>
      <c r="D14" s="486">
        <f>D16</f>
        <v>11.009</v>
      </c>
      <c r="E14" s="486"/>
      <c r="F14" s="486"/>
      <c r="G14" s="486"/>
      <c r="H14" s="487"/>
      <c r="I14" s="487"/>
      <c r="J14" s="487"/>
      <c r="K14" s="487"/>
      <c r="L14" s="758"/>
    </row>
    <row r="15" spans="1:12" ht="15">
      <c r="A15" s="759" t="s">
        <v>166</v>
      </c>
      <c r="B15" s="760" t="s">
        <v>281</v>
      </c>
      <c r="C15" s="488"/>
      <c r="D15" s="488"/>
      <c r="E15" s="488"/>
      <c r="F15" s="488"/>
      <c r="G15" s="488"/>
      <c r="H15" s="488"/>
      <c r="I15" s="488"/>
      <c r="J15" s="488"/>
      <c r="K15" s="488"/>
      <c r="L15" s="761"/>
    </row>
    <row r="16" spans="1:12" ht="15">
      <c r="A16" s="759" t="s">
        <v>282</v>
      </c>
      <c r="B16" s="760" t="s">
        <v>281</v>
      </c>
      <c r="C16" s="489">
        <v>11.03</v>
      </c>
      <c r="D16" s="489">
        <v>11.009</v>
      </c>
      <c r="E16" s="489"/>
      <c r="F16" s="489"/>
      <c r="G16" s="489"/>
      <c r="H16" s="488"/>
      <c r="I16" s="488"/>
      <c r="J16" s="488"/>
      <c r="K16" s="488"/>
      <c r="L16" s="761"/>
    </row>
    <row r="17" spans="1:12" ht="16.5">
      <c r="A17" s="762" t="s">
        <v>288</v>
      </c>
      <c r="B17" s="760" t="s">
        <v>26</v>
      </c>
      <c r="C17" s="490">
        <v>9743.1</v>
      </c>
      <c r="D17" s="490">
        <v>9502.55</v>
      </c>
      <c r="E17" s="490"/>
      <c r="F17" s="490"/>
      <c r="G17" s="490"/>
      <c r="H17" s="491"/>
      <c r="I17" s="491"/>
      <c r="J17" s="491"/>
      <c r="K17" s="491"/>
      <c r="L17" s="763"/>
    </row>
    <row r="18" spans="1:12" ht="15">
      <c r="A18" s="764" t="s">
        <v>284</v>
      </c>
      <c r="B18" s="760" t="s">
        <v>26</v>
      </c>
      <c r="C18" s="488">
        <v>0</v>
      </c>
      <c r="D18" s="488">
        <v>0</v>
      </c>
      <c r="E18" s="489"/>
      <c r="F18" s="489"/>
      <c r="G18" s="489"/>
      <c r="H18" s="488"/>
      <c r="I18" s="488"/>
      <c r="J18" s="488"/>
      <c r="K18" s="488"/>
      <c r="L18" s="761"/>
    </row>
    <row r="19" spans="1:12" ht="15">
      <c r="A19" s="764" t="s">
        <v>285</v>
      </c>
      <c r="B19" s="760" t="s">
        <v>26</v>
      </c>
      <c r="C19" s="489">
        <v>61.4</v>
      </c>
      <c r="D19" s="489">
        <v>58.3</v>
      </c>
      <c r="E19" s="489"/>
      <c r="F19" s="489"/>
      <c r="G19" s="489"/>
      <c r="H19" s="488"/>
      <c r="I19" s="488"/>
      <c r="J19" s="488"/>
      <c r="K19" s="488"/>
      <c r="L19" s="761"/>
    </row>
    <row r="20" spans="1:12" ht="15">
      <c r="A20" s="765" t="s">
        <v>291</v>
      </c>
      <c r="B20" s="760" t="s">
        <v>26</v>
      </c>
      <c r="C20" s="755">
        <v>1941.2</v>
      </c>
      <c r="D20" s="755">
        <v>1706.3</v>
      </c>
      <c r="E20" s="489"/>
      <c r="F20" s="489"/>
      <c r="G20" s="489"/>
      <c r="H20" s="488"/>
      <c r="I20" s="488"/>
      <c r="J20" s="488"/>
      <c r="K20" s="488"/>
      <c r="L20" s="761"/>
    </row>
    <row r="21" spans="1:12" ht="17.25" thickBot="1">
      <c r="A21" s="766" t="s">
        <v>289</v>
      </c>
      <c r="B21" s="767" t="s">
        <v>23</v>
      </c>
      <c r="C21" s="492">
        <v>71</v>
      </c>
      <c r="D21" s="492">
        <v>67</v>
      </c>
      <c r="E21" s="492"/>
      <c r="F21" s="492"/>
      <c r="G21" s="492"/>
      <c r="H21" s="493"/>
      <c r="I21" s="493"/>
      <c r="J21" s="493"/>
      <c r="K21" s="493"/>
      <c r="L21" s="768"/>
    </row>
    <row r="22" spans="1:12" ht="19.5" thickBot="1">
      <c r="A22" s="1451" t="s">
        <v>278</v>
      </c>
      <c r="B22" s="1452"/>
      <c r="C22" s="1452"/>
      <c r="D22" s="1452"/>
      <c r="E22" s="1452"/>
      <c r="F22" s="1452"/>
      <c r="G22" s="1452"/>
      <c r="H22" s="1452"/>
      <c r="I22" s="1452"/>
      <c r="J22" s="1452"/>
      <c r="K22" s="1452"/>
      <c r="L22" s="1453"/>
    </row>
    <row r="23" spans="1:12" ht="16.5">
      <c r="A23" s="611" t="s">
        <v>286</v>
      </c>
      <c r="B23" s="612" t="s">
        <v>281</v>
      </c>
      <c r="C23" s="276"/>
      <c r="D23" s="276"/>
      <c r="E23" s="486">
        <f>E25</f>
        <v>9.8905</v>
      </c>
      <c r="F23" s="486">
        <f>F25</f>
        <v>10.6087</v>
      </c>
      <c r="G23" s="486">
        <f>G25</f>
        <v>10.1</v>
      </c>
      <c r="H23" s="349">
        <f>H24+H25</f>
        <v>10.6</v>
      </c>
      <c r="I23" s="354">
        <f>I24+I25</f>
        <v>7.5</v>
      </c>
      <c r="J23" s="486">
        <f>J24+J25</f>
        <v>7.575</v>
      </c>
      <c r="K23" s="486">
        <f>K24+K25</f>
        <v>7.65075</v>
      </c>
      <c r="L23" s="274"/>
    </row>
    <row r="24" spans="1:12" ht="15">
      <c r="A24" s="243" t="s">
        <v>166</v>
      </c>
      <c r="B24" s="246" t="s">
        <v>281</v>
      </c>
      <c r="C24" s="275"/>
      <c r="D24" s="275"/>
      <c r="E24" s="488"/>
      <c r="F24" s="488"/>
      <c r="G24" s="488"/>
      <c r="H24" s="350"/>
      <c r="I24" s="355"/>
      <c r="J24" s="489"/>
      <c r="K24" s="489"/>
      <c r="L24" s="280"/>
    </row>
    <row r="25" spans="1:12" ht="15">
      <c r="A25" s="243" t="s">
        <v>282</v>
      </c>
      <c r="B25" s="246" t="s">
        <v>281</v>
      </c>
      <c r="C25" s="275"/>
      <c r="D25" s="275"/>
      <c r="E25" s="489">
        <v>9.8905</v>
      </c>
      <c r="F25" s="489">
        <v>10.6087</v>
      </c>
      <c r="G25" s="489">
        <v>10.1</v>
      </c>
      <c r="H25" s="350">
        <v>10.6</v>
      </c>
      <c r="I25" s="355">
        <v>7.5</v>
      </c>
      <c r="J25" s="489">
        <f aca="true" t="shared" si="2" ref="J25:K29">I25*101%</f>
        <v>7.575</v>
      </c>
      <c r="K25" s="489">
        <f t="shared" si="2"/>
        <v>7.65075</v>
      </c>
      <c r="L25" s="278"/>
    </row>
    <row r="26" spans="1:12" ht="16.5">
      <c r="A26" s="609" t="s">
        <v>288</v>
      </c>
      <c r="B26" s="610" t="s">
        <v>26</v>
      </c>
      <c r="C26" s="272"/>
      <c r="D26" s="272"/>
      <c r="E26" s="490">
        <v>7402.7</v>
      </c>
      <c r="F26" s="490">
        <v>7163.5</v>
      </c>
      <c r="G26" s="490">
        <v>6456.7</v>
      </c>
      <c r="H26" s="351">
        <v>7387.1</v>
      </c>
      <c r="I26" s="356">
        <v>6465</v>
      </c>
      <c r="J26" s="490">
        <f t="shared" si="2"/>
        <v>6529.65</v>
      </c>
      <c r="K26" s="490">
        <f t="shared" si="2"/>
        <v>6594.9465</v>
      </c>
      <c r="L26" s="273"/>
    </row>
    <row r="27" spans="1:12" ht="15">
      <c r="A27" s="244" t="s">
        <v>284</v>
      </c>
      <c r="B27" s="246" t="s">
        <v>26</v>
      </c>
      <c r="C27" s="275"/>
      <c r="D27" s="275"/>
      <c r="E27" s="489">
        <v>759.9</v>
      </c>
      <c r="F27" s="489">
        <v>657.5</v>
      </c>
      <c r="G27" s="489">
        <v>2569.5</v>
      </c>
      <c r="H27" s="350">
        <v>2335.5</v>
      </c>
      <c r="I27" s="355">
        <v>2389.1</v>
      </c>
      <c r="J27" s="489">
        <f t="shared" si="2"/>
        <v>2412.991</v>
      </c>
      <c r="K27" s="489">
        <f t="shared" si="2"/>
        <v>2437.12091</v>
      </c>
      <c r="L27" s="281"/>
    </row>
    <row r="28" spans="1:12" ht="15">
      <c r="A28" s="244" t="s">
        <v>285</v>
      </c>
      <c r="B28" s="246" t="s">
        <v>26</v>
      </c>
      <c r="C28" s="275"/>
      <c r="D28" s="275"/>
      <c r="E28" s="489">
        <v>2031.8</v>
      </c>
      <c r="F28" s="489">
        <v>2034</v>
      </c>
      <c r="G28" s="489">
        <v>32.6</v>
      </c>
      <c r="H28" s="350">
        <v>35.7</v>
      </c>
      <c r="I28" s="355">
        <v>36.7</v>
      </c>
      <c r="J28" s="489">
        <f t="shared" si="2"/>
        <v>37.067</v>
      </c>
      <c r="K28" s="489">
        <f t="shared" si="2"/>
        <v>37.43767</v>
      </c>
      <c r="L28" s="281"/>
    </row>
    <row r="29" spans="1:12" ht="15">
      <c r="A29" s="271" t="s">
        <v>291</v>
      </c>
      <c r="B29" s="246" t="s">
        <v>26</v>
      </c>
      <c r="C29" s="275"/>
      <c r="D29" s="275"/>
      <c r="E29" s="489">
        <v>1397.8</v>
      </c>
      <c r="F29" s="489">
        <v>1405.1</v>
      </c>
      <c r="G29" s="489">
        <v>1272.8</v>
      </c>
      <c r="H29" s="350">
        <v>1403.9</v>
      </c>
      <c r="I29" s="355">
        <v>1378.6</v>
      </c>
      <c r="J29" s="489">
        <f t="shared" si="2"/>
        <v>1392.386</v>
      </c>
      <c r="K29" s="489">
        <f t="shared" si="2"/>
        <v>1406.30986</v>
      </c>
      <c r="L29" s="282"/>
    </row>
    <row r="30" spans="1:12" ht="17.25" thickBot="1">
      <c r="A30" s="249" t="s">
        <v>289</v>
      </c>
      <c r="B30" s="250" t="s">
        <v>23</v>
      </c>
      <c r="C30" s="272"/>
      <c r="D30" s="272"/>
      <c r="E30" s="492">
        <v>104.6</v>
      </c>
      <c r="F30" s="492">
        <v>121.3</v>
      </c>
      <c r="G30" s="492">
        <v>33.7</v>
      </c>
      <c r="H30" s="352">
        <v>33</v>
      </c>
      <c r="I30" s="357">
        <v>34</v>
      </c>
      <c r="J30" s="613">
        <f>I30*106%</f>
        <v>36.04</v>
      </c>
      <c r="K30" s="613">
        <f>J30*106%</f>
        <v>38.202400000000004</v>
      </c>
      <c r="L30" s="277"/>
    </row>
    <row r="31" spans="1:12" ht="16.5">
      <c r="A31" s="247" t="s">
        <v>286</v>
      </c>
      <c r="B31" s="248" t="s">
        <v>281</v>
      </c>
      <c r="C31" s="252">
        <f aca="true" t="shared" si="3" ref="C31:L31">C5+C14+C23</f>
        <v>81.57000000000001</v>
      </c>
      <c r="D31" s="252">
        <f t="shared" si="3"/>
        <v>63.938</v>
      </c>
      <c r="E31" s="252">
        <f t="shared" si="3"/>
        <v>78.1755</v>
      </c>
      <c r="F31" s="252">
        <f t="shared" si="3"/>
        <v>71.62870000000001</v>
      </c>
      <c r="G31" s="252">
        <f t="shared" si="3"/>
        <v>73.303</v>
      </c>
      <c r="H31" s="888">
        <f t="shared" si="3"/>
        <v>75.088</v>
      </c>
      <c r="I31" s="891">
        <f t="shared" si="3"/>
        <v>77.70400000000001</v>
      </c>
      <c r="J31" s="252">
        <f t="shared" si="3"/>
        <v>78.48104000000001</v>
      </c>
      <c r="K31" s="252">
        <f t="shared" si="3"/>
        <v>79.2658504</v>
      </c>
      <c r="L31" s="252">
        <f t="shared" si="3"/>
        <v>0</v>
      </c>
    </row>
    <row r="32" spans="1:12" ht="15">
      <c r="A32" s="243" t="s">
        <v>166</v>
      </c>
      <c r="B32" s="246" t="s">
        <v>281</v>
      </c>
      <c r="C32" s="253">
        <f aca="true" t="shared" si="4" ref="C32:L32">C6+C15+C24</f>
        <v>70.483</v>
      </c>
      <c r="D32" s="253">
        <f t="shared" si="4"/>
        <v>52.901</v>
      </c>
      <c r="E32" s="253">
        <f t="shared" si="4"/>
        <v>68.228</v>
      </c>
      <c r="F32" s="253">
        <f t="shared" si="4"/>
        <v>61</v>
      </c>
      <c r="G32" s="253">
        <f t="shared" si="4"/>
        <v>63.181</v>
      </c>
      <c r="H32" s="889">
        <f t="shared" si="4"/>
        <v>64.466</v>
      </c>
      <c r="I32" s="892">
        <f t="shared" si="4"/>
        <v>70.182</v>
      </c>
      <c r="J32" s="253">
        <f t="shared" si="4"/>
        <v>70.88382</v>
      </c>
      <c r="K32" s="253">
        <f t="shared" si="4"/>
        <v>71.5926582</v>
      </c>
      <c r="L32" s="253">
        <f t="shared" si="4"/>
        <v>0</v>
      </c>
    </row>
    <row r="33" spans="1:12" ht="15">
      <c r="A33" s="243" t="s">
        <v>282</v>
      </c>
      <c r="B33" s="246" t="s">
        <v>281</v>
      </c>
      <c r="C33" s="253">
        <f aca="true" t="shared" si="5" ref="C33:L33">C7+C16+C25</f>
        <v>11.087</v>
      </c>
      <c r="D33" s="253">
        <f t="shared" si="5"/>
        <v>11.037</v>
      </c>
      <c r="E33" s="253">
        <f t="shared" si="5"/>
        <v>9.9475</v>
      </c>
      <c r="F33" s="253">
        <f t="shared" si="5"/>
        <v>10.6287</v>
      </c>
      <c r="G33" s="253">
        <f t="shared" si="5"/>
        <v>10.122</v>
      </c>
      <c r="H33" s="889">
        <f t="shared" si="5"/>
        <v>10.622</v>
      </c>
      <c r="I33" s="892">
        <f t="shared" si="5"/>
        <v>7.522</v>
      </c>
      <c r="J33" s="253">
        <f t="shared" si="5"/>
        <v>7.59722</v>
      </c>
      <c r="K33" s="253">
        <f t="shared" si="5"/>
        <v>7.673192200000001</v>
      </c>
      <c r="L33" s="253">
        <f t="shared" si="5"/>
        <v>0</v>
      </c>
    </row>
    <row r="34" spans="1:12" ht="16.5">
      <c r="A34" s="283" t="s">
        <v>288</v>
      </c>
      <c r="B34" s="284" t="s">
        <v>26</v>
      </c>
      <c r="C34" s="285">
        <f aca="true" t="shared" si="6" ref="C34:L34">C8+C17+C26</f>
        <v>61176.1</v>
      </c>
      <c r="D34" s="285">
        <f t="shared" si="6"/>
        <v>58285.55</v>
      </c>
      <c r="E34" s="285">
        <f t="shared" si="6"/>
        <v>55581.7</v>
      </c>
      <c r="F34" s="285">
        <f t="shared" si="6"/>
        <v>49971.5</v>
      </c>
      <c r="G34" s="285">
        <f t="shared" si="6"/>
        <v>50900.7</v>
      </c>
      <c r="H34" s="889">
        <f t="shared" si="6"/>
        <v>52441.1</v>
      </c>
      <c r="I34" s="892">
        <f t="shared" si="6"/>
        <v>55325</v>
      </c>
      <c r="J34" s="285">
        <f t="shared" si="6"/>
        <v>55878.25</v>
      </c>
      <c r="K34" s="285">
        <f t="shared" si="6"/>
        <v>56437.032499999994</v>
      </c>
      <c r="L34" s="285">
        <f t="shared" si="6"/>
        <v>0</v>
      </c>
    </row>
    <row r="35" spans="1:12" ht="15">
      <c r="A35" s="244" t="s">
        <v>284</v>
      </c>
      <c r="B35" s="246" t="s">
        <v>26</v>
      </c>
      <c r="C35" s="253">
        <f aca="true" t="shared" si="7" ref="C35:L35">C9+C18+C27</f>
        <v>28334</v>
      </c>
      <c r="D35" s="253">
        <f t="shared" si="7"/>
        <v>41104</v>
      </c>
      <c r="E35" s="253">
        <f t="shared" si="7"/>
        <v>41845.9</v>
      </c>
      <c r="F35" s="253">
        <f t="shared" si="7"/>
        <v>35997.5</v>
      </c>
      <c r="G35" s="253">
        <f t="shared" si="7"/>
        <v>39766.5</v>
      </c>
      <c r="H35" s="889">
        <f t="shared" si="7"/>
        <v>39250.5</v>
      </c>
      <c r="I35" s="892">
        <f t="shared" si="7"/>
        <v>42500.1</v>
      </c>
      <c r="J35" s="253">
        <f t="shared" si="7"/>
        <v>42925.101</v>
      </c>
      <c r="K35" s="253">
        <f t="shared" si="7"/>
        <v>43354.35201</v>
      </c>
      <c r="L35" s="253">
        <f t="shared" si="7"/>
        <v>0</v>
      </c>
    </row>
    <row r="36" spans="1:12" ht="15">
      <c r="A36" s="244" t="s">
        <v>285</v>
      </c>
      <c r="B36" s="246" t="s">
        <v>26</v>
      </c>
      <c r="C36" s="253">
        <f aca="true" t="shared" si="8" ref="C36:L36">C10+C19+C28</f>
        <v>215.4</v>
      </c>
      <c r="D36" s="253">
        <f t="shared" si="8"/>
        <v>184.3</v>
      </c>
      <c r="E36" s="253">
        <f t="shared" si="8"/>
        <v>2130.8</v>
      </c>
      <c r="F36" s="253">
        <f t="shared" si="8"/>
        <v>2212</v>
      </c>
      <c r="G36" s="253">
        <f t="shared" si="8"/>
        <v>279.6</v>
      </c>
      <c r="H36" s="889">
        <f t="shared" si="8"/>
        <v>487.7</v>
      </c>
      <c r="I36" s="892">
        <f t="shared" si="8"/>
        <v>567.7</v>
      </c>
      <c r="J36" s="253">
        <f t="shared" si="8"/>
        <v>573.3770000000001</v>
      </c>
      <c r="K36" s="253">
        <f t="shared" si="8"/>
        <v>579.1107700000001</v>
      </c>
      <c r="L36" s="253">
        <f t="shared" si="8"/>
        <v>0</v>
      </c>
    </row>
    <row r="37" spans="1:12" ht="15">
      <c r="A37" s="271" t="s">
        <v>291</v>
      </c>
      <c r="B37" s="246" t="s">
        <v>26</v>
      </c>
      <c r="C37" s="253">
        <f aca="true" t="shared" si="9" ref="C37:L37">C11+C20+C29</f>
        <v>5456.2</v>
      </c>
      <c r="D37" s="253">
        <f t="shared" si="9"/>
        <v>5248.3</v>
      </c>
      <c r="E37" s="253">
        <f t="shared" si="9"/>
        <v>4733.8</v>
      </c>
      <c r="F37" s="253">
        <f t="shared" si="9"/>
        <v>5132.1</v>
      </c>
      <c r="G37" s="253">
        <f t="shared" si="9"/>
        <v>4829.8</v>
      </c>
      <c r="H37" s="889">
        <f t="shared" si="9"/>
        <v>5059.9</v>
      </c>
      <c r="I37" s="892">
        <f t="shared" si="9"/>
        <v>4935.6</v>
      </c>
      <c r="J37" s="253">
        <f t="shared" si="9"/>
        <v>4984.956</v>
      </c>
      <c r="K37" s="253">
        <f t="shared" si="9"/>
        <v>5034.805560000001</v>
      </c>
      <c r="L37" s="253">
        <f t="shared" si="9"/>
        <v>0</v>
      </c>
    </row>
    <row r="38" spans="1:12" ht="17.25" thickBot="1">
      <c r="A38" s="286" t="s">
        <v>289</v>
      </c>
      <c r="B38" s="287" t="s">
        <v>23</v>
      </c>
      <c r="C38" s="288">
        <f aca="true" t="shared" si="10" ref="C38:L38">C12+C21+C30</f>
        <v>726.1</v>
      </c>
      <c r="D38" s="288">
        <f t="shared" si="10"/>
        <v>735.3</v>
      </c>
      <c r="E38" s="288">
        <f t="shared" si="10"/>
        <v>785</v>
      </c>
      <c r="F38" s="288">
        <f t="shared" si="10"/>
        <v>512.3</v>
      </c>
      <c r="G38" s="288">
        <f t="shared" si="10"/>
        <v>214.43</v>
      </c>
      <c r="H38" s="890">
        <f t="shared" si="10"/>
        <v>229.848</v>
      </c>
      <c r="I38" s="893">
        <f t="shared" si="10"/>
        <v>265.817</v>
      </c>
      <c r="J38" s="288">
        <f t="shared" si="10"/>
        <v>281.76602</v>
      </c>
      <c r="K38" s="288">
        <f t="shared" si="10"/>
        <v>298.67198120000006</v>
      </c>
      <c r="L38" s="288">
        <f t="shared" si="10"/>
        <v>0</v>
      </c>
    </row>
  </sheetData>
  <sheetProtection/>
  <mergeCells count="6">
    <mergeCell ref="A1:L1"/>
    <mergeCell ref="A22:L22"/>
    <mergeCell ref="A13:L13"/>
    <mergeCell ref="A4:L4"/>
    <mergeCell ref="B2:B3"/>
    <mergeCell ref="A2:A3"/>
  </mergeCells>
  <printOptions/>
  <pageMargins left="0.5118110236220472" right="0.11811023622047245" top="0.15748031496062992" bottom="0.5511811023622047" header="0" footer="0"/>
  <pageSetup fitToHeight="1" fitToWidth="1" horizontalDpi="600" verticalDpi="600" orientation="landscape" paperSize="9" scale="8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4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50.25390625" style="86" customWidth="1"/>
    <col min="2" max="2" width="9.625" style="86" bestFit="1" customWidth="1"/>
    <col min="3" max="7" width="7.75390625" style="86" customWidth="1"/>
    <col min="8" max="8" width="12.75390625" style="86" bestFit="1" customWidth="1"/>
    <col min="9" max="16384" width="9.125" style="86" customWidth="1"/>
  </cols>
  <sheetData>
    <row r="1" spans="1:12" ht="21" thickBot="1">
      <c r="A1" s="1450" t="s">
        <v>279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</row>
    <row r="2" spans="1:12" ht="15.75">
      <c r="A2" s="1468"/>
      <c r="B2" s="1470" t="s">
        <v>287</v>
      </c>
      <c r="C2" s="344" t="s">
        <v>2</v>
      </c>
      <c r="D2" s="344" t="s">
        <v>2</v>
      </c>
      <c r="E2" s="344" t="s">
        <v>2</v>
      </c>
      <c r="F2" s="344" t="s">
        <v>2</v>
      </c>
      <c r="G2" s="344" t="s">
        <v>2</v>
      </c>
      <c r="H2" s="344" t="s">
        <v>283</v>
      </c>
      <c r="I2" s="618" t="s">
        <v>4</v>
      </c>
      <c r="J2" s="257" t="s">
        <v>4</v>
      </c>
      <c r="K2" s="257" t="s">
        <v>4</v>
      </c>
      <c r="L2" s="258" t="s">
        <v>4</v>
      </c>
    </row>
    <row r="3" spans="1:12" ht="16.5" thickBot="1">
      <c r="A3" s="1469"/>
      <c r="B3" s="1471"/>
      <c r="C3" s="345">
        <v>2013</v>
      </c>
      <c r="D3" s="345">
        <v>2014</v>
      </c>
      <c r="E3" s="345">
        <v>2015</v>
      </c>
      <c r="F3" s="345">
        <v>2016</v>
      </c>
      <c r="G3" s="345">
        <v>2017</v>
      </c>
      <c r="H3" s="345">
        <v>2018</v>
      </c>
      <c r="I3" s="619">
        <v>2019</v>
      </c>
      <c r="J3" s="259">
        <v>2020</v>
      </c>
      <c r="K3" s="259">
        <v>2021</v>
      </c>
      <c r="L3" s="260">
        <v>2022</v>
      </c>
    </row>
    <row r="4" spans="1:12" ht="16.5" thickBot="1">
      <c r="A4" s="1472" t="s">
        <v>276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4"/>
    </row>
    <row r="5" spans="1:12" ht="15.75">
      <c r="A5" s="245" t="s">
        <v>290</v>
      </c>
      <c r="B5" s="257" t="s">
        <v>169</v>
      </c>
      <c r="C5" s="346">
        <v>100.8</v>
      </c>
      <c r="D5" s="346">
        <v>93.351</v>
      </c>
      <c r="E5" s="346">
        <v>92.974</v>
      </c>
      <c r="F5" s="346">
        <v>83</v>
      </c>
      <c r="G5" s="346">
        <v>87.1</v>
      </c>
      <c r="H5" s="346">
        <v>83.64</v>
      </c>
      <c r="I5" s="614">
        <v>87.819</v>
      </c>
      <c r="J5" s="494">
        <f>I5*101%</f>
        <v>88.69719</v>
      </c>
      <c r="K5" s="494">
        <f>J5*101%</f>
        <v>89.58416190000001</v>
      </c>
      <c r="L5" s="265"/>
    </row>
    <row r="6" spans="1:14" ht="16.5" thickBot="1">
      <c r="A6" s="242" t="s">
        <v>170</v>
      </c>
      <c r="B6" s="261" t="s">
        <v>169</v>
      </c>
      <c r="C6" s="347">
        <v>96.346</v>
      </c>
      <c r="D6" s="347">
        <v>89.287</v>
      </c>
      <c r="E6" s="347">
        <v>88.624</v>
      </c>
      <c r="F6" s="347">
        <v>79</v>
      </c>
      <c r="G6" s="347">
        <v>82.656</v>
      </c>
      <c r="H6" s="347">
        <v>78.884</v>
      </c>
      <c r="I6" s="615">
        <v>83.369</v>
      </c>
      <c r="J6" s="495">
        <f>I6*101%</f>
        <v>84.20269</v>
      </c>
      <c r="K6" s="495">
        <f>J6*101%</f>
        <v>85.04471690000001</v>
      </c>
      <c r="L6" s="268"/>
      <c r="N6" s="86">
        <f>88/12*10</f>
        <v>73.33333333333333</v>
      </c>
    </row>
    <row r="7" spans="1:16" ht="16.5" thickBot="1">
      <c r="A7" s="1461" t="s">
        <v>277</v>
      </c>
      <c r="B7" s="1462"/>
      <c r="C7" s="1462"/>
      <c r="D7" s="1462"/>
      <c r="E7" s="1462"/>
      <c r="F7" s="1462"/>
      <c r="G7" s="1462"/>
      <c r="H7" s="1462"/>
      <c r="I7" s="1462"/>
      <c r="J7" s="1462"/>
      <c r="K7" s="1462"/>
      <c r="L7" s="1463"/>
      <c r="P7" s="86" t="s">
        <v>246</v>
      </c>
    </row>
    <row r="8" spans="1:12" ht="15.75">
      <c r="A8" s="245" t="s">
        <v>290</v>
      </c>
      <c r="B8" s="257" t="s">
        <v>169</v>
      </c>
      <c r="C8" s="346">
        <v>59.1</v>
      </c>
      <c r="D8" s="346">
        <v>39.797</v>
      </c>
      <c r="E8" s="264">
        <v>0</v>
      </c>
      <c r="F8" s="264">
        <v>0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5">
        <v>0</v>
      </c>
    </row>
    <row r="9" spans="1:12" ht="16.5" thickBot="1">
      <c r="A9" s="262" t="s">
        <v>170</v>
      </c>
      <c r="B9" s="263" t="s">
        <v>169</v>
      </c>
      <c r="C9" s="348">
        <v>40.1</v>
      </c>
      <c r="D9" s="348">
        <v>31.163</v>
      </c>
      <c r="E9" s="266">
        <v>0</v>
      </c>
      <c r="F9" s="266">
        <v>0</v>
      </c>
      <c r="G9" s="266">
        <v>0</v>
      </c>
      <c r="H9" s="266">
        <v>0</v>
      </c>
      <c r="I9" s="266">
        <v>0</v>
      </c>
      <c r="J9" s="266">
        <v>0</v>
      </c>
      <c r="K9" s="266">
        <v>0</v>
      </c>
      <c r="L9" s="267">
        <v>0</v>
      </c>
    </row>
    <row r="10" spans="1:12" ht="16.5" thickBot="1">
      <c r="A10" s="1461" t="s">
        <v>278</v>
      </c>
      <c r="B10" s="1462"/>
      <c r="C10" s="1462"/>
      <c r="D10" s="1462"/>
      <c r="E10" s="1462"/>
      <c r="F10" s="1462"/>
      <c r="G10" s="1462"/>
      <c r="H10" s="1462"/>
      <c r="I10" s="1462"/>
      <c r="J10" s="1462"/>
      <c r="K10" s="1462"/>
      <c r="L10" s="1463"/>
    </row>
    <row r="11" spans="1:12" ht="15.75">
      <c r="A11" s="245" t="s">
        <v>290</v>
      </c>
      <c r="B11" s="257" t="s">
        <v>169</v>
      </c>
      <c r="C11" s="346">
        <v>0</v>
      </c>
      <c r="D11" s="346">
        <v>0</v>
      </c>
      <c r="E11" s="346">
        <f>13.616+6.054+4.028+2.598</f>
        <v>26.296</v>
      </c>
      <c r="F11" s="346">
        <v>23.3</v>
      </c>
      <c r="G11" s="346">
        <v>18.7</v>
      </c>
      <c r="H11" s="346">
        <v>23.9</v>
      </c>
      <c r="I11" s="614">
        <v>20.4</v>
      </c>
      <c r="J11" s="494">
        <f>I11*101%</f>
        <v>20.604</v>
      </c>
      <c r="K11" s="494">
        <f>J11*101%</f>
        <v>20.81004</v>
      </c>
      <c r="L11" s="265"/>
    </row>
    <row r="12" spans="1:12" ht="16.5" thickBot="1">
      <c r="A12" s="242" t="s">
        <v>170</v>
      </c>
      <c r="B12" s="261" t="s">
        <v>169</v>
      </c>
      <c r="C12" s="347">
        <v>0</v>
      </c>
      <c r="D12" s="347">
        <v>0</v>
      </c>
      <c r="E12" s="348">
        <v>24.897</v>
      </c>
      <c r="F12" s="348">
        <v>21.386442</v>
      </c>
      <c r="G12" s="347">
        <v>15.6</v>
      </c>
      <c r="H12" s="347">
        <v>18.3</v>
      </c>
      <c r="I12" s="615">
        <v>16.9</v>
      </c>
      <c r="J12" s="495">
        <f>I12*101%</f>
        <v>17.069</v>
      </c>
      <c r="K12" s="495">
        <f>J12*101%</f>
        <v>17.23969</v>
      </c>
      <c r="L12" s="268"/>
    </row>
    <row r="13" spans="1:12" ht="16.5" thickBot="1">
      <c r="A13" s="1461" t="s">
        <v>335</v>
      </c>
      <c r="B13" s="1462"/>
      <c r="C13" s="1462"/>
      <c r="D13" s="1462"/>
      <c r="E13" s="1462"/>
      <c r="F13" s="1462"/>
      <c r="G13" s="1462"/>
      <c r="H13" s="1462"/>
      <c r="I13" s="1462"/>
      <c r="J13" s="1462"/>
      <c r="K13" s="1462"/>
      <c r="L13" s="1463"/>
    </row>
    <row r="14" spans="1:12" ht="15.75">
      <c r="A14" s="245" t="s">
        <v>290</v>
      </c>
      <c r="B14" s="257" t="s">
        <v>169</v>
      </c>
      <c r="C14" s="346">
        <v>0</v>
      </c>
      <c r="D14" s="346">
        <v>0</v>
      </c>
      <c r="E14" s="346">
        <v>16.032</v>
      </c>
      <c r="F14" s="346">
        <v>18.8829</v>
      </c>
      <c r="G14" s="346">
        <v>18.659</v>
      </c>
      <c r="H14" s="346">
        <v>18.484</v>
      </c>
      <c r="I14" s="614">
        <v>18.594</v>
      </c>
      <c r="J14" s="494">
        <f>I14*101%</f>
        <v>18.77994</v>
      </c>
      <c r="K14" s="494">
        <f>J14*101%</f>
        <v>18.9677394</v>
      </c>
      <c r="L14" s="265"/>
    </row>
    <row r="15" spans="1:12" ht="16.5" thickBot="1">
      <c r="A15" s="242" t="s">
        <v>170</v>
      </c>
      <c r="B15" s="261" t="s">
        <v>169</v>
      </c>
      <c r="C15" s="347">
        <v>0</v>
      </c>
      <c r="D15" s="347">
        <v>0</v>
      </c>
      <c r="E15" s="347">
        <v>13.546</v>
      </c>
      <c r="F15" s="347">
        <v>16.0472</v>
      </c>
      <c r="G15" s="347">
        <v>16.046</v>
      </c>
      <c r="H15" s="347">
        <v>15.897</v>
      </c>
      <c r="I15" s="615">
        <v>15.993</v>
      </c>
      <c r="J15" s="495">
        <f>I15*101%</f>
        <v>16.15293</v>
      </c>
      <c r="K15" s="495">
        <f>J15*101%</f>
        <v>16.314459300000003</v>
      </c>
      <c r="L15" s="268"/>
    </row>
    <row r="16" spans="1:12" ht="16.5" thickBot="1">
      <c r="A16" s="1464" t="s">
        <v>270</v>
      </c>
      <c r="B16" s="1465"/>
      <c r="C16" s="1465"/>
      <c r="D16" s="1465"/>
      <c r="E16" s="1465"/>
      <c r="F16" s="1465"/>
      <c r="G16" s="1465"/>
      <c r="H16" s="1465"/>
      <c r="I16" s="1465"/>
      <c r="J16" s="1465"/>
      <c r="K16" s="1465"/>
      <c r="L16" s="1466"/>
    </row>
    <row r="17" spans="1:12" ht="15.75">
      <c r="A17" s="245" t="s">
        <v>290</v>
      </c>
      <c r="B17" s="257" t="s">
        <v>169</v>
      </c>
      <c r="C17" s="496">
        <f aca="true" t="shared" si="0" ref="C17:L17">C5+C8+C11+C14</f>
        <v>159.9</v>
      </c>
      <c r="D17" s="496">
        <f t="shared" si="0"/>
        <v>133.148</v>
      </c>
      <c r="E17" s="496">
        <f t="shared" si="0"/>
        <v>135.30200000000002</v>
      </c>
      <c r="F17" s="496">
        <f t="shared" si="0"/>
        <v>125.18289999999999</v>
      </c>
      <c r="G17" s="496">
        <f t="shared" si="0"/>
        <v>124.459</v>
      </c>
      <c r="H17" s="496">
        <f t="shared" si="0"/>
        <v>126.024</v>
      </c>
      <c r="I17" s="616">
        <f t="shared" si="0"/>
        <v>126.81299999999999</v>
      </c>
      <c r="J17" s="620">
        <f t="shared" si="0"/>
        <v>128.08113</v>
      </c>
      <c r="K17" s="620">
        <f t="shared" si="0"/>
        <v>129.3619413</v>
      </c>
      <c r="L17" s="269">
        <f t="shared" si="0"/>
        <v>0</v>
      </c>
    </row>
    <row r="18" spans="1:12" ht="16.5" thickBot="1">
      <c r="A18" s="262" t="s">
        <v>170</v>
      </c>
      <c r="B18" s="263" t="s">
        <v>169</v>
      </c>
      <c r="C18" s="497">
        <f aca="true" t="shared" si="1" ref="C18:L18">C6+C9+C12+C15</f>
        <v>136.446</v>
      </c>
      <c r="D18" s="497">
        <f t="shared" si="1"/>
        <v>120.45</v>
      </c>
      <c r="E18" s="497">
        <f t="shared" si="1"/>
        <v>127.06699999999998</v>
      </c>
      <c r="F18" s="497">
        <f t="shared" si="1"/>
        <v>116.433642</v>
      </c>
      <c r="G18" s="497">
        <f t="shared" si="1"/>
        <v>114.30199999999999</v>
      </c>
      <c r="H18" s="497">
        <f t="shared" si="1"/>
        <v>113.081</v>
      </c>
      <c r="I18" s="617">
        <f t="shared" si="1"/>
        <v>116.262</v>
      </c>
      <c r="J18" s="621">
        <f t="shared" si="1"/>
        <v>117.42462</v>
      </c>
      <c r="K18" s="621">
        <f t="shared" si="1"/>
        <v>118.5988662</v>
      </c>
      <c r="L18" s="270">
        <f t="shared" si="1"/>
        <v>0</v>
      </c>
    </row>
    <row r="21" s="254" customFormat="1" ht="12.75"/>
    <row r="22" spans="1:6" s="254" customFormat="1" ht="12.75">
      <c r="A22" s="1467"/>
      <c r="B22" s="1467"/>
      <c r="C22" s="1467"/>
      <c r="D22" s="1467"/>
      <c r="E22" s="1467"/>
      <c r="F22" s="1467"/>
    </row>
    <row r="23" spans="1:8" s="254" customFormat="1" ht="12.75">
      <c r="A23" s="241"/>
      <c r="B23" s="241"/>
      <c r="C23" s="241"/>
      <c r="D23" s="241"/>
      <c r="E23" s="241"/>
      <c r="F23" s="241"/>
      <c r="G23" s="241"/>
      <c r="H23" s="241"/>
    </row>
    <row r="24" spans="3:8" s="254" customFormat="1" ht="12.75">
      <c r="C24" s="255"/>
      <c r="D24" s="255"/>
      <c r="E24" s="255"/>
      <c r="F24" s="255"/>
      <c r="G24" s="255"/>
      <c r="H24" s="255"/>
    </row>
    <row r="25" spans="3:8" s="254" customFormat="1" ht="12.75">
      <c r="C25" s="255"/>
      <c r="D25" s="255"/>
      <c r="E25" s="255"/>
      <c r="F25" s="255"/>
      <c r="G25" s="255"/>
      <c r="H25" s="255"/>
    </row>
    <row r="26" spans="3:8" s="254" customFormat="1" ht="12.75">
      <c r="C26" s="255"/>
      <c r="D26" s="255"/>
      <c r="E26" s="255"/>
      <c r="F26" s="255"/>
      <c r="G26" s="255"/>
      <c r="H26" s="255"/>
    </row>
    <row r="27" s="254" customFormat="1" ht="12.75"/>
    <row r="28" s="254" customFormat="1" ht="12.75"/>
    <row r="29" s="254" customFormat="1" ht="12.75"/>
    <row r="30" spans="1:6" s="254" customFormat="1" ht="12.75">
      <c r="A30" s="1467"/>
      <c r="B30" s="1467"/>
      <c r="C30" s="1467"/>
      <c r="D30" s="1467"/>
      <c r="E30" s="1467"/>
      <c r="F30" s="1467"/>
    </row>
    <row r="31" spans="1:8" s="254" customFormat="1" ht="12.75">
      <c r="A31" s="241"/>
      <c r="B31" s="241"/>
      <c r="C31" s="241"/>
      <c r="D31" s="241"/>
      <c r="E31" s="241"/>
      <c r="F31" s="241"/>
      <c r="G31" s="241"/>
      <c r="H31" s="241"/>
    </row>
    <row r="32" spans="3:8" s="254" customFormat="1" ht="12.75">
      <c r="C32" s="255"/>
      <c r="D32" s="255"/>
      <c r="E32" s="255"/>
      <c r="F32" s="255"/>
      <c r="G32" s="255"/>
      <c r="H32" s="255"/>
    </row>
    <row r="33" spans="3:8" s="254" customFormat="1" ht="12.75">
      <c r="C33" s="255"/>
      <c r="D33" s="255"/>
      <c r="E33" s="255"/>
      <c r="F33" s="255"/>
      <c r="G33" s="255"/>
      <c r="H33" s="255"/>
    </row>
    <row r="34" spans="3:8" s="254" customFormat="1" ht="12.75">
      <c r="C34" s="255"/>
      <c r="D34" s="255"/>
      <c r="E34" s="255"/>
      <c r="F34" s="255"/>
      <c r="G34" s="255"/>
      <c r="H34" s="255"/>
    </row>
    <row r="35" s="254" customFormat="1" ht="12.75"/>
    <row r="36" s="254" customFormat="1" ht="12.75"/>
    <row r="37" s="254" customFormat="1" ht="12.75"/>
    <row r="38" s="254" customFormat="1" ht="12.75"/>
    <row r="39" s="254" customFormat="1" ht="12.75"/>
    <row r="40" s="254" customFormat="1" ht="12.75"/>
    <row r="41" s="254" customFormat="1" ht="12.75"/>
  </sheetData>
  <sheetProtection/>
  <mergeCells count="10">
    <mergeCell ref="A13:L13"/>
    <mergeCell ref="A16:L16"/>
    <mergeCell ref="A22:F22"/>
    <mergeCell ref="A30:F30"/>
    <mergeCell ref="A1:L1"/>
    <mergeCell ref="A2:A3"/>
    <mergeCell ref="B2:B3"/>
    <mergeCell ref="A4:L4"/>
    <mergeCell ref="A7:L7"/>
    <mergeCell ref="A10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33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28.625" style="212" customWidth="1"/>
    <col min="2" max="2" width="17.375" style="212" hidden="1" customWidth="1"/>
    <col min="3" max="3" width="14.125" style="212" hidden="1" customWidth="1"/>
    <col min="4" max="4" width="15.375" style="212" hidden="1" customWidth="1"/>
    <col min="5" max="6" width="15.625" style="212" hidden="1" customWidth="1"/>
    <col min="7" max="9" width="15.625" style="212" bestFit="1" customWidth="1"/>
    <col min="10" max="11" width="12.625" style="212" bestFit="1" customWidth="1"/>
    <col min="12" max="12" width="9.25390625" style="212" bestFit="1" customWidth="1"/>
    <col min="13" max="16384" width="9.125" style="212" customWidth="1"/>
  </cols>
  <sheetData>
    <row r="1" ht="15.75"/>
    <row r="2" spans="1:11" ht="15.75">
      <c r="A2" s="343"/>
      <c r="B2" s="842" t="s">
        <v>327</v>
      </c>
      <c r="C2" s="405" t="s">
        <v>327</v>
      </c>
      <c r="D2" s="405" t="s">
        <v>327</v>
      </c>
      <c r="E2" s="405" t="s">
        <v>327</v>
      </c>
      <c r="F2" s="405" t="s">
        <v>327</v>
      </c>
      <c r="G2" s="405" t="s">
        <v>327</v>
      </c>
      <c r="H2" s="405" t="s">
        <v>328</v>
      </c>
      <c r="I2" s="405" t="s">
        <v>4</v>
      </c>
      <c r="J2" s="405" t="s">
        <v>4</v>
      </c>
      <c r="K2" s="405" t="s">
        <v>4</v>
      </c>
    </row>
    <row r="3" spans="1:12" ht="15.75">
      <c r="A3" s="213"/>
      <c r="B3" s="213">
        <v>2012</v>
      </c>
      <c r="C3" s="213">
        <v>2013</v>
      </c>
      <c r="D3" s="213">
        <v>2014</v>
      </c>
      <c r="E3" s="418">
        <v>2015</v>
      </c>
      <c r="F3" s="418">
        <v>2016</v>
      </c>
      <c r="G3" s="418">
        <v>2017</v>
      </c>
      <c r="H3" s="418">
        <v>2018</v>
      </c>
      <c r="I3" s="418">
        <v>2019</v>
      </c>
      <c r="J3" s="418">
        <v>2020</v>
      </c>
      <c r="K3" s="418">
        <v>2021</v>
      </c>
      <c r="L3" s="843"/>
    </row>
    <row r="4" spans="1:12" ht="15.75">
      <c r="A4" s="844" t="s">
        <v>248</v>
      </c>
      <c r="B4" s="846">
        <v>354000</v>
      </c>
      <c r="C4" s="846">
        <v>400000</v>
      </c>
      <c r="D4" s="846">
        <v>423300</v>
      </c>
      <c r="E4" s="846">
        <v>454700</v>
      </c>
      <c r="F4" s="846">
        <v>462548.88</v>
      </c>
      <c r="G4" s="845">
        <v>476051.241</v>
      </c>
      <c r="H4" s="845">
        <v>491529.515</v>
      </c>
      <c r="I4" s="845">
        <v>503335.423</v>
      </c>
      <c r="J4" s="847">
        <f>I4*102.1%</f>
        <v>513905.466883</v>
      </c>
      <c r="K4" s="847">
        <f>J4*102.1%</f>
        <v>524697.481687543</v>
      </c>
      <c r="L4" s="848">
        <f>F4/E4</f>
        <v>1.0172616670332086</v>
      </c>
    </row>
    <row r="5" spans="1:12" ht="15.75">
      <c r="A5" s="844" t="s">
        <v>250</v>
      </c>
      <c r="B5" s="846">
        <f>12185.7+3953.1+22.3+1233.5+5341+116.9+201.7</f>
        <v>23054.2</v>
      </c>
      <c r="C5" s="846">
        <f>12894.7+3616.9+21.5+859.7+5817+123.1+76.2+85.8+3842.9</f>
        <v>27337.800000000003</v>
      </c>
      <c r="D5" s="846">
        <v>30983.9</v>
      </c>
      <c r="E5" s="846">
        <v>40213</v>
      </c>
      <c r="F5" s="846">
        <v>45797.73</v>
      </c>
      <c r="G5" s="845">
        <v>47811.3</v>
      </c>
      <c r="H5" s="845">
        <v>44759.8</v>
      </c>
      <c r="I5" s="845">
        <v>46550.3</v>
      </c>
      <c r="J5" s="847">
        <f aca="true" t="shared" si="0" ref="J5:K8">I5*103%</f>
        <v>47946.809</v>
      </c>
      <c r="K5" s="847">
        <f t="shared" si="0"/>
        <v>49385.21327</v>
      </c>
      <c r="L5" s="843"/>
    </row>
    <row r="6" spans="1:12" ht="15.75">
      <c r="A6" s="844" t="s">
        <v>249</v>
      </c>
      <c r="B6" s="846"/>
      <c r="C6" s="846">
        <v>8289.02</v>
      </c>
      <c r="D6" s="846">
        <v>34281.389</v>
      </c>
      <c r="E6" s="846">
        <v>25581.679</v>
      </c>
      <c r="F6" s="846">
        <v>29266.19</v>
      </c>
      <c r="G6" s="845">
        <v>26891.951</v>
      </c>
      <c r="H6" s="845">
        <v>27365.661</v>
      </c>
      <c r="I6" s="845">
        <v>26724.933</v>
      </c>
      <c r="J6" s="847">
        <f t="shared" si="0"/>
        <v>27526.68099</v>
      </c>
      <c r="K6" s="847">
        <f t="shared" si="0"/>
        <v>28352.4814197</v>
      </c>
      <c r="L6" s="843"/>
    </row>
    <row r="7" spans="1:12" ht="31.5" customHeight="1">
      <c r="A7" s="858" t="s">
        <v>251</v>
      </c>
      <c r="B7" s="846">
        <v>44125</v>
      </c>
      <c r="C7" s="846">
        <v>48684.84</v>
      </c>
      <c r="D7" s="846">
        <v>66004.776</v>
      </c>
      <c r="E7" s="846">
        <v>47916.206</v>
      </c>
      <c r="F7" s="846">
        <v>52986.11</v>
      </c>
      <c r="G7" s="845">
        <v>55732.297</v>
      </c>
      <c r="H7" s="845">
        <v>53284.062</v>
      </c>
      <c r="I7" s="845">
        <v>55222.09</v>
      </c>
      <c r="J7" s="847">
        <f t="shared" si="0"/>
        <v>56878.7527</v>
      </c>
      <c r="K7" s="847">
        <f t="shared" si="0"/>
        <v>58585.115281</v>
      </c>
      <c r="L7" s="843"/>
    </row>
    <row r="8" spans="1:12" ht="15.75">
      <c r="A8" s="844" t="s">
        <v>252</v>
      </c>
      <c r="B8" s="846">
        <f>4230388/1000</f>
        <v>4230.388</v>
      </c>
      <c r="C8" s="846">
        <v>3362.9</v>
      </c>
      <c r="D8" s="846">
        <v>3716.062</v>
      </c>
      <c r="E8" s="846">
        <v>5007.4</v>
      </c>
      <c r="F8" s="846">
        <v>6394.5</v>
      </c>
      <c r="G8" s="845">
        <v>3834.2</v>
      </c>
      <c r="H8" s="845">
        <v>6680</v>
      </c>
      <c r="I8" s="845">
        <v>5769.2</v>
      </c>
      <c r="J8" s="847">
        <f t="shared" si="0"/>
        <v>5942.276</v>
      </c>
      <c r="K8" s="847">
        <f t="shared" si="0"/>
        <v>6120.54428</v>
      </c>
      <c r="L8" s="843"/>
    </row>
    <row r="9" spans="1:12" ht="15.75">
      <c r="A9" s="213"/>
      <c r="B9" s="849">
        <f aca="true" t="shared" si="1" ref="B9:G9">SUM(B4:B8)</f>
        <v>425409.588</v>
      </c>
      <c r="C9" s="849">
        <f t="shared" si="1"/>
        <v>487674.56000000006</v>
      </c>
      <c r="D9" s="849">
        <f t="shared" si="1"/>
        <v>558286.1270000001</v>
      </c>
      <c r="E9" s="850">
        <f t="shared" si="1"/>
        <v>573418.285</v>
      </c>
      <c r="F9" s="850">
        <f t="shared" si="1"/>
        <v>596993.4099999999</v>
      </c>
      <c r="G9" s="851">
        <f t="shared" si="1"/>
        <v>610320.989</v>
      </c>
      <c r="H9" s="851">
        <f>SUM(H4:H8)</f>
        <v>623619.0380000001</v>
      </c>
      <c r="I9" s="851">
        <f>SUM(I4:I8)</f>
        <v>637601.9459999999</v>
      </c>
      <c r="J9" s="851">
        <f>SUM(J4:J8)</f>
        <v>652199.9855729999</v>
      </c>
      <c r="K9" s="851">
        <f>SUM(K4:K8)</f>
        <v>667140.835938243</v>
      </c>
      <c r="L9" s="843"/>
    </row>
    <row r="10" spans="1:12" s="221" customFormat="1" ht="15.75">
      <c r="A10" s="852"/>
      <c r="B10" s="852"/>
      <c r="C10" s="852"/>
      <c r="D10" s="852"/>
      <c r="E10" s="852"/>
      <c r="F10" s="852"/>
      <c r="G10" s="852"/>
      <c r="I10" s="843"/>
      <c r="J10" s="843"/>
      <c r="K10" s="843"/>
      <c r="L10" s="843"/>
    </row>
    <row r="11" spans="1:12" ht="33.75" customHeight="1">
      <c r="A11" s="872" t="s">
        <v>473</v>
      </c>
      <c r="B11" s="873">
        <f>B4+B8</f>
        <v>358230.388</v>
      </c>
      <c r="C11" s="873">
        <f>C4+C8</f>
        <v>403362.9</v>
      </c>
      <c r="D11" s="873">
        <f>D4+D8</f>
        <v>427016.062</v>
      </c>
      <c r="E11" s="873">
        <f>E4+E8</f>
        <v>459707.4</v>
      </c>
      <c r="F11" s="873">
        <f>F4+F8</f>
        <v>468943.38</v>
      </c>
      <c r="G11" s="873">
        <f>G4+G8+G5</f>
        <v>527696.741</v>
      </c>
      <c r="H11" s="873">
        <f>H4+H8+H5</f>
        <v>542969.3150000001</v>
      </c>
      <c r="I11" s="873">
        <f>I4+I8+I5</f>
        <v>555654.9230000001</v>
      </c>
      <c r="J11" s="873">
        <f>J4+J8+J5</f>
        <v>567794.551883</v>
      </c>
      <c r="K11" s="873">
        <f>K4+K8+K5</f>
        <v>580203.239237543</v>
      </c>
      <c r="L11" s="843"/>
    </row>
    <row r="12" spans="1:12" ht="15.75">
      <c r="A12" s="853" t="s">
        <v>353</v>
      </c>
      <c r="B12" s="854">
        <f aca="true" t="shared" si="2" ref="B12:K12">B6+B7</f>
        <v>44125</v>
      </c>
      <c r="C12" s="854">
        <f t="shared" si="2"/>
        <v>56973.86</v>
      </c>
      <c r="D12" s="854">
        <f t="shared" si="2"/>
        <v>100286.16500000001</v>
      </c>
      <c r="E12" s="854">
        <f t="shared" si="2"/>
        <v>73497.885</v>
      </c>
      <c r="F12" s="854">
        <f t="shared" si="2"/>
        <v>82252.3</v>
      </c>
      <c r="G12" s="854">
        <f t="shared" si="2"/>
        <v>82624.24799999999</v>
      </c>
      <c r="H12" s="854">
        <f t="shared" si="2"/>
        <v>80649.723</v>
      </c>
      <c r="I12" s="854">
        <f t="shared" si="2"/>
        <v>81947.023</v>
      </c>
      <c r="J12" s="854">
        <f t="shared" si="2"/>
        <v>84405.43369</v>
      </c>
      <c r="K12" s="854">
        <f t="shared" si="2"/>
        <v>86937.5967007</v>
      </c>
      <c r="L12" s="843"/>
    </row>
    <row r="13" spans="9:12" ht="15.75">
      <c r="I13" s="843"/>
      <c r="J13" s="843"/>
      <c r="K13" s="843"/>
      <c r="L13" s="843"/>
    </row>
    <row r="14" spans="3:6" ht="15.75">
      <c r="C14" s="855"/>
      <c r="D14" s="855"/>
      <c r="E14" s="855"/>
      <c r="F14" s="855"/>
    </row>
    <row r="15" spans="1:11" ht="15.75">
      <c r="A15" s="413" t="s">
        <v>471</v>
      </c>
      <c r="B15" s="343"/>
      <c r="C15" s="409">
        <v>6519522.9</v>
      </c>
      <c r="D15" s="409"/>
      <c r="E15" s="409">
        <v>17295089.9</v>
      </c>
      <c r="F15" s="409">
        <v>18514836.38</v>
      </c>
      <c r="G15" s="856">
        <v>20191598.3</v>
      </c>
      <c r="H15" s="861">
        <f>14268386.3/9*12</f>
        <v>19024515.06666667</v>
      </c>
      <c r="I15" s="856">
        <v>20301300</v>
      </c>
      <c r="J15" s="409"/>
      <c r="K15" s="409"/>
    </row>
    <row r="16" spans="1:11" ht="15.75">
      <c r="A16" s="413" t="s">
        <v>472</v>
      </c>
      <c r="B16" s="343"/>
      <c r="C16" s="409">
        <v>3656131</v>
      </c>
      <c r="D16" s="409"/>
      <c r="E16" s="409">
        <v>3334025.8</v>
      </c>
      <c r="F16" s="409">
        <v>4139340.2</v>
      </c>
      <c r="G16" s="856">
        <v>6596477.42</v>
      </c>
      <c r="H16" s="861">
        <f>4822432.82/9*12</f>
        <v>6429910.426666668</v>
      </c>
      <c r="I16" s="856">
        <v>6912000</v>
      </c>
      <c r="J16" s="409"/>
      <c r="K16" s="409"/>
    </row>
    <row r="17" spans="1:11" ht="15.75">
      <c r="A17" s="413" t="s">
        <v>468</v>
      </c>
      <c r="B17" s="343"/>
      <c r="C17" s="409">
        <v>13883871.47</v>
      </c>
      <c r="D17" s="409"/>
      <c r="E17" s="409">
        <v>6225003.85</v>
      </c>
      <c r="F17" s="409">
        <v>6385214</v>
      </c>
      <c r="G17" s="856">
        <v>6385578</v>
      </c>
      <c r="H17" s="856">
        <v>6596165</v>
      </c>
      <c r="I17" s="856">
        <v>6490871</v>
      </c>
      <c r="J17" s="409"/>
      <c r="K17" s="409"/>
    </row>
    <row r="18" spans="1:11" ht="15.75">
      <c r="A18" s="413" t="s">
        <v>469</v>
      </c>
      <c r="B18" s="343"/>
      <c r="C18" s="414">
        <v>20039434.12</v>
      </c>
      <c r="D18" s="409"/>
      <c r="E18" s="409">
        <v>3652687</v>
      </c>
      <c r="F18" s="409">
        <v>3819928</v>
      </c>
      <c r="G18" s="856">
        <v>3975200</v>
      </c>
      <c r="H18" s="856">
        <v>4005168</v>
      </c>
      <c r="I18" s="856">
        <v>3990648</v>
      </c>
      <c r="J18" s="409"/>
      <c r="K18" s="409"/>
    </row>
    <row r="19" spans="1:11" ht="15.75">
      <c r="A19" s="859" t="s">
        <v>470</v>
      </c>
      <c r="B19" s="343"/>
      <c r="C19" s="414">
        <v>1068600</v>
      </c>
      <c r="D19" s="409"/>
      <c r="E19" s="409">
        <v>17409399.96</v>
      </c>
      <c r="F19" s="409">
        <v>20126799</v>
      </c>
      <c r="G19" s="856">
        <v>18583444</v>
      </c>
      <c r="H19" s="856">
        <v>17228304</v>
      </c>
      <c r="I19" s="856">
        <v>17527272</v>
      </c>
      <c r="J19" s="409"/>
      <c r="K19" s="409"/>
    </row>
    <row r="20" spans="3:11" ht="15.75">
      <c r="C20" s="855">
        <v>14847333.31</v>
      </c>
      <c r="D20" s="855"/>
      <c r="E20" s="860">
        <f aca="true" t="shared" si="3" ref="E20:K20">SUM(E15:E19)</f>
        <v>47916206.51</v>
      </c>
      <c r="F20" s="860">
        <f t="shared" si="3"/>
        <v>52986117.58</v>
      </c>
      <c r="G20" s="857">
        <f t="shared" si="3"/>
        <v>55732297.72</v>
      </c>
      <c r="H20" s="857">
        <f t="shared" si="3"/>
        <v>53284062.49333334</v>
      </c>
      <c r="I20" s="857">
        <f t="shared" si="3"/>
        <v>55222091</v>
      </c>
      <c r="J20" s="860">
        <f t="shared" si="3"/>
        <v>0</v>
      </c>
      <c r="K20" s="860">
        <f t="shared" si="3"/>
        <v>0</v>
      </c>
    </row>
    <row r="21" spans="3:6" ht="15.75">
      <c r="C21" s="855">
        <v>3299883.88</v>
      </c>
      <c r="D21" s="855"/>
      <c r="E21" s="855"/>
      <c r="F21" s="855"/>
    </row>
    <row r="22" spans="3:6" ht="15.75">
      <c r="C22" s="855">
        <v>2690000</v>
      </c>
      <c r="D22" s="855"/>
      <c r="E22" s="855"/>
      <c r="F22" s="855"/>
    </row>
    <row r="23" spans="3:5" ht="15.75">
      <c r="C23" s="855">
        <f>SUM(C15:C22)</f>
        <v>66004776.68000001</v>
      </c>
      <c r="D23" s="855"/>
      <c r="E23" s="855"/>
    </row>
    <row r="24" spans="1:13" ht="15.75">
      <c r="A24" s="1475" t="s">
        <v>250</v>
      </c>
      <c r="B24" s="343"/>
      <c r="C24" s="409"/>
      <c r="D24" s="343"/>
      <c r="E24" s="409"/>
      <c r="F24" s="343"/>
      <c r="G24" s="856">
        <v>25035.1</v>
      </c>
      <c r="H24" s="856">
        <v>20546.6</v>
      </c>
      <c r="I24" s="856">
        <v>21368.5</v>
      </c>
      <c r="J24" s="343"/>
      <c r="K24" s="343"/>
      <c r="M24" s="855"/>
    </row>
    <row r="25" spans="1:13" ht="15.75">
      <c r="A25" s="1475"/>
      <c r="B25" s="343"/>
      <c r="C25" s="409"/>
      <c r="D25" s="409"/>
      <c r="E25" s="409"/>
      <c r="F25" s="343"/>
      <c r="G25" s="856">
        <v>6231.9</v>
      </c>
      <c r="H25" s="856">
        <v>9617</v>
      </c>
      <c r="I25" s="856">
        <v>10001.7</v>
      </c>
      <c r="J25" s="343"/>
      <c r="K25" s="343"/>
      <c r="M25" s="855"/>
    </row>
    <row r="26" spans="1:11" ht="15.75">
      <c r="A26" s="1475"/>
      <c r="B26" s="343"/>
      <c r="C26" s="343"/>
      <c r="D26" s="343"/>
      <c r="E26" s="343"/>
      <c r="F26" s="343"/>
      <c r="G26" s="856">
        <v>25.4</v>
      </c>
      <c r="H26" s="856">
        <v>37.4</v>
      </c>
      <c r="I26" s="856">
        <v>38.9</v>
      </c>
      <c r="J26" s="343"/>
      <c r="K26" s="343"/>
    </row>
    <row r="27" spans="1:11" ht="15.75">
      <c r="A27" s="1475"/>
      <c r="B27" s="343"/>
      <c r="C27" s="343"/>
      <c r="D27" s="343"/>
      <c r="E27" s="343"/>
      <c r="F27" s="343"/>
      <c r="G27" s="856">
        <v>902.2</v>
      </c>
      <c r="H27" s="856">
        <v>1720</v>
      </c>
      <c r="I27" s="856">
        <v>1788.8</v>
      </c>
      <c r="J27" s="343"/>
      <c r="K27" s="343"/>
    </row>
    <row r="28" spans="1:11" ht="15.75">
      <c r="A28" s="1475"/>
      <c r="B28" s="343"/>
      <c r="C28" s="343"/>
      <c r="D28" s="343"/>
      <c r="E28" s="343"/>
      <c r="F28" s="343"/>
      <c r="G28" s="856">
        <v>9255</v>
      </c>
      <c r="H28" s="856">
        <v>6854</v>
      </c>
      <c r="I28" s="856">
        <v>7129</v>
      </c>
      <c r="J28" s="343"/>
      <c r="K28" s="343"/>
    </row>
    <row r="29" spans="1:11" ht="15.75">
      <c r="A29" s="1475"/>
      <c r="B29" s="343"/>
      <c r="C29" s="343"/>
      <c r="D29" s="343"/>
      <c r="E29" s="343"/>
      <c r="F29" s="343"/>
      <c r="G29" s="856">
        <v>12.2</v>
      </c>
      <c r="H29" s="856">
        <v>58.4</v>
      </c>
      <c r="I29" s="856">
        <v>60.7</v>
      </c>
      <c r="J29" s="343"/>
      <c r="K29" s="343"/>
    </row>
    <row r="30" spans="1:11" ht="15.75">
      <c r="A30" s="1475"/>
      <c r="B30" s="343"/>
      <c r="C30" s="343"/>
      <c r="D30" s="343"/>
      <c r="E30" s="343"/>
      <c r="F30" s="343"/>
      <c r="G30" s="856">
        <v>44.5</v>
      </c>
      <c r="H30" s="856">
        <v>44.4</v>
      </c>
      <c r="I30" s="856">
        <v>46.2</v>
      </c>
      <c r="J30" s="343"/>
      <c r="K30" s="343"/>
    </row>
    <row r="31" spans="1:11" ht="15.75">
      <c r="A31" s="1475"/>
      <c r="B31" s="343"/>
      <c r="C31" s="343"/>
      <c r="D31" s="343"/>
      <c r="E31" s="343"/>
      <c r="F31" s="343"/>
      <c r="G31" s="856">
        <v>235</v>
      </c>
      <c r="H31" s="856">
        <v>87</v>
      </c>
      <c r="I31" s="856">
        <v>90.5</v>
      </c>
      <c r="J31" s="343"/>
      <c r="K31" s="343"/>
    </row>
    <row r="32" spans="1:11" ht="15.75">
      <c r="A32" s="1475"/>
      <c r="B32" s="343"/>
      <c r="C32" s="343"/>
      <c r="D32" s="343"/>
      <c r="E32" s="343"/>
      <c r="F32" s="343"/>
      <c r="G32" s="856">
        <v>6070</v>
      </c>
      <c r="H32" s="856">
        <v>5795</v>
      </c>
      <c r="I32" s="856">
        <v>6026</v>
      </c>
      <c r="J32" s="343"/>
      <c r="K32" s="343"/>
    </row>
    <row r="33" spans="1:11" ht="15.75">
      <c r="A33" s="1475"/>
      <c r="B33" s="343"/>
      <c r="C33" s="343"/>
      <c r="D33" s="343"/>
      <c r="E33" s="343"/>
      <c r="F33" s="343"/>
      <c r="G33" s="857">
        <f>SUM(G24:G32)</f>
        <v>47811.3</v>
      </c>
      <c r="H33" s="857">
        <f>SUM(H24:H32)</f>
        <v>44759.8</v>
      </c>
      <c r="I33" s="857">
        <f>SUM(I24:I32)</f>
        <v>46550.299999999996</v>
      </c>
      <c r="J33" s="343"/>
      <c r="K33" s="343"/>
    </row>
  </sheetData>
  <sheetProtection/>
  <mergeCells count="1">
    <mergeCell ref="A24:A33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7" sqref="A7"/>
    </sheetView>
  </sheetViews>
  <sheetFormatPr defaultColWidth="12.875" defaultRowHeight="12.75"/>
  <cols>
    <col min="1" max="1" width="13.875" style="212" bestFit="1" customWidth="1"/>
    <col min="2" max="2" width="14.25390625" style="212" bestFit="1" customWidth="1"/>
    <col min="3" max="3" width="13.125" style="212" bestFit="1" customWidth="1"/>
    <col min="4" max="4" width="14.25390625" style="212" bestFit="1" customWidth="1"/>
    <col min="5" max="5" width="13.875" style="212" bestFit="1" customWidth="1"/>
    <col min="6" max="6" width="12.875" style="212" customWidth="1"/>
    <col min="7" max="7" width="14.25390625" style="212" bestFit="1" customWidth="1"/>
    <col min="8" max="8" width="14.375" style="212" customWidth="1"/>
    <col min="9" max="16384" width="12.875" style="212" customWidth="1"/>
  </cols>
  <sheetData>
    <row r="1" spans="1:8" ht="15.75">
      <c r="A1" s="1407" t="s">
        <v>348</v>
      </c>
      <c r="B1" s="1407"/>
      <c r="C1" s="1407"/>
      <c r="D1" s="1407"/>
      <c r="E1" s="1407"/>
      <c r="F1" s="1407"/>
      <c r="G1" s="1407"/>
      <c r="H1" s="1407"/>
    </row>
    <row r="2" spans="1:8" ht="31.5">
      <c r="A2" s="343"/>
      <c r="B2" s="213" t="s">
        <v>342</v>
      </c>
      <c r="C2" s="213" t="s">
        <v>343</v>
      </c>
      <c r="D2" s="213" t="s">
        <v>344</v>
      </c>
      <c r="E2" s="405" t="s">
        <v>343</v>
      </c>
      <c r="F2" s="413" t="s">
        <v>345</v>
      </c>
      <c r="G2" s="417" t="s">
        <v>346</v>
      </c>
      <c r="H2" s="418" t="s">
        <v>347</v>
      </c>
    </row>
    <row r="3" spans="1:8" ht="15.75">
      <c r="A3" s="343" t="s">
        <v>207</v>
      </c>
      <c r="B3" s="409">
        <v>1762782.78</v>
      </c>
      <c r="C3" s="409">
        <v>484649.13</v>
      </c>
      <c r="D3" s="409">
        <v>5107395.199999999</v>
      </c>
      <c r="E3" s="409"/>
      <c r="F3" s="414">
        <v>2726084.4799999995</v>
      </c>
      <c r="G3" s="416">
        <f>B3+C3+D3</f>
        <v>7354827.109999999</v>
      </c>
      <c r="H3" s="416">
        <f>B3+C3+F3</f>
        <v>4973516.39</v>
      </c>
    </row>
    <row r="4" spans="1:8" ht="15.75">
      <c r="A4" s="343" t="s">
        <v>208</v>
      </c>
      <c r="B4" s="409">
        <v>1199346.07</v>
      </c>
      <c r="C4" s="409">
        <v>314426.54</v>
      </c>
      <c r="D4" s="409">
        <v>766278.3499999997</v>
      </c>
      <c r="E4" s="409"/>
      <c r="F4" s="414">
        <v>426391.07999999996</v>
      </c>
      <c r="G4" s="416">
        <f aca="true" t="shared" si="0" ref="G4:G9">B4+C4+D4</f>
        <v>2280050.96</v>
      </c>
      <c r="H4" s="416">
        <f aca="true" t="shared" si="1" ref="H4:H9">B4+C4+F4</f>
        <v>1940163.69</v>
      </c>
    </row>
    <row r="5" spans="1:8" ht="15.75">
      <c r="A5" s="343" t="s">
        <v>209</v>
      </c>
      <c r="B5" s="409">
        <v>1263786.3799999997</v>
      </c>
      <c r="C5" s="409">
        <v>329548.67</v>
      </c>
      <c r="D5" s="409">
        <v>1124212.1500000001</v>
      </c>
      <c r="E5" s="409"/>
      <c r="F5" s="414">
        <v>601012.24</v>
      </c>
      <c r="G5" s="416">
        <f t="shared" si="0"/>
        <v>2717547.1999999997</v>
      </c>
      <c r="H5" s="416">
        <f t="shared" si="1"/>
        <v>2194347.2899999996</v>
      </c>
    </row>
    <row r="6" spans="1:8" ht="15.75">
      <c r="A6" s="343" t="s">
        <v>210</v>
      </c>
      <c r="B6" s="409">
        <v>1311784.77</v>
      </c>
      <c r="C6" s="409">
        <v>289718.41</v>
      </c>
      <c r="D6" s="409">
        <v>719014.3000000002</v>
      </c>
      <c r="E6" s="409"/>
      <c r="F6" s="414">
        <v>378702.70999999996</v>
      </c>
      <c r="G6" s="416">
        <f t="shared" si="0"/>
        <v>2320517.48</v>
      </c>
      <c r="H6" s="416">
        <f t="shared" si="1"/>
        <v>1980205.89</v>
      </c>
    </row>
    <row r="7" spans="1:8" ht="15.75">
      <c r="A7" s="343" t="s">
        <v>211</v>
      </c>
      <c r="B7" s="409">
        <v>743735.1100000001</v>
      </c>
      <c r="C7" s="409">
        <v>184457.92</v>
      </c>
      <c r="D7" s="410">
        <v>1051947.9599999997</v>
      </c>
      <c r="E7" s="409"/>
      <c r="F7" s="414">
        <v>452803.00000000006</v>
      </c>
      <c r="G7" s="416">
        <f t="shared" si="0"/>
        <v>1980140.9899999998</v>
      </c>
      <c r="H7" s="416">
        <f t="shared" si="1"/>
        <v>1380996.0300000003</v>
      </c>
    </row>
    <row r="8" spans="1:8" ht="15.75">
      <c r="A8" s="343" t="s">
        <v>212</v>
      </c>
      <c r="B8" s="409">
        <v>1063482.6500000001</v>
      </c>
      <c r="C8" s="409">
        <v>32944</v>
      </c>
      <c r="D8" s="412">
        <v>774057.6399999999</v>
      </c>
      <c r="E8" s="409"/>
      <c r="F8" s="414">
        <v>379301.6</v>
      </c>
      <c r="G8" s="416">
        <f t="shared" si="0"/>
        <v>1870484.29</v>
      </c>
      <c r="H8" s="416">
        <f t="shared" si="1"/>
        <v>1475728.25</v>
      </c>
    </row>
    <row r="9" spans="1:8" ht="15.75">
      <c r="A9" s="343" t="s">
        <v>214</v>
      </c>
      <c r="B9" s="409">
        <v>4367582.239999999</v>
      </c>
      <c r="C9" s="409">
        <v>329485.01</v>
      </c>
      <c r="D9" s="411">
        <v>6516094.399999999</v>
      </c>
      <c r="E9" s="409"/>
      <c r="F9" s="414">
        <v>2733467.4000000004</v>
      </c>
      <c r="G9" s="416">
        <f t="shared" si="0"/>
        <v>11213161.649999999</v>
      </c>
      <c r="H9" s="416">
        <f t="shared" si="1"/>
        <v>7430534.649999999</v>
      </c>
    </row>
    <row r="10" spans="1:8" ht="15.75">
      <c r="A10" s="415" t="s">
        <v>200</v>
      </c>
      <c r="B10" s="416">
        <f>SUM(B3:B9)</f>
        <v>11712500</v>
      </c>
      <c r="C10" s="416">
        <f aca="true" t="shared" si="2" ref="C10:H10">SUM(C3:C9)</f>
        <v>1965229.6799999997</v>
      </c>
      <c r="D10" s="416">
        <f t="shared" si="2"/>
        <v>16059000</v>
      </c>
      <c r="E10" s="416">
        <f t="shared" si="2"/>
        <v>0</v>
      </c>
      <c r="F10" s="419">
        <f t="shared" si="2"/>
        <v>7697762.51</v>
      </c>
      <c r="G10" s="416">
        <f t="shared" si="2"/>
        <v>29736729.68</v>
      </c>
      <c r="H10" s="416">
        <f t="shared" si="2"/>
        <v>21375492.189999998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A13"/>
  <sheetViews>
    <sheetView zoomScalePageLayoutView="0" workbookViewId="0" topLeftCell="A1">
      <selection activeCell="A15" sqref="A15:A21"/>
    </sheetView>
  </sheetViews>
  <sheetFormatPr defaultColWidth="9.00390625" defaultRowHeight="12.75"/>
  <sheetData>
    <row r="5" ht="12.75">
      <c r="A5">
        <v>75842</v>
      </c>
    </row>
    <row r="6" ht="12.75">
      <c r="A6">
        <v>10999.9</v>
      </c>
    </row>
    <row r="7" ht="12.75">
      <c r="A7">
        <v>4980.92</v>
      </c>
    </row>
    <row r="8" ht="12.75">
      <c r="A8">
        <v>3888.6</v>
      </c>
    </row>
    <row r="9" ht="12.75">
      <c r="A9">
        <v>3741.6</v>
      </c>
    </row>
    <row r="10" ht="12.75">
      <c r="A10">
        <v>2853.6</v>
      </c>
    </row>
    <row r="11" ht="12.75">
      <c r="A11">
        <v>2558.8</v>
      </c>
    </row>
    <row r="12" ht="12.75">
      <c r="A12">
        <v>18270</v>
      </c>
    </row>
    <row r="13" ht="12.75">
      <c r="A13">
        <f>SUM(A5:A12)</f>
        <v>123135.42000000001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O25"/>
  <sheetViews>
    <sheetView zoomScalePageLayoutView="0" workbookViewId="0" topLeftCell="A4">
      <selection activeCell="A3" sqref="A3:P3"/>
    </sheetView>
  </sheetViews>
  <sheetFormatPr defaultColWidth="9.00390625" defaultRowHeight="12.75"/>
  <sheetData>
    <row r="3" spans="8:11" ht="12.75">
      <c r="H3">
        <v>2596</v>
      </c>
      <c r="I3">
        <v>2523</v>
      </c>
      <c r="J3">
        <v>2560</v>
      </c>
      <c r="K3">
        <v>2509</v>
      </c>
    </row>
    <row r="4" spans="8:11" ht="12.75">
      <c r="H4">
        <v>75</v>
      </c>
      <c r="I4">
        <v>93</v>
      </c>
      <c r="J4">
        <v>86</v>
      </c>
      <c r="K4">
        <v>94</v>
      </c>
    </row>
    <row r="5" spans="8:11" ht="12.75">
      <c r="H5">
        <f>H4/H3*100</f>
        <v>2.889060092449923</v>
      </c>
      <c r="I5">
        <f>I4/I3*100</f>
        <v>3.686087990487515</v>
      </c>
      <c r="J5">
        <f>J4/J3*100</f>
        <v>3.359375</v>
      </c>
      <c r="K5">
        <f>K4/K3*100</f>
        <v>3.7465125548027105</v>
      </c>
    </row>
    <row r="8" ht="12.75">
      <c r="B8">
        <v>65303.7</v>
      </c>
    </row>
    <row r="9" ht="12.75">
      <c r="B9">
        <v>948.5</v>
      </c>
    </row>
    <row r="10" ht="12.75">
      <c r="B10">
        <v>7963.7</v>
      </c>
    </row>
    <row r="11" ht="12.75">
      <c r="B11">
        <v>320</v>
      </c>
    </row>
    <row r="12" ht="12.75">
      <c r="B12">
        <f>B8+B9+B10+B11</f>
        <v>74535.9</v>
      </c>
    </row>
    <row r="13" spans="4:15" ht="12.75">
      <c r="D13">
        <v>104.8</v>
      </c>
      <c r="F13">
        <v>4.734</v>
      </c>
      <c r="I13">
        <v>246.7</v>
      </c>
      <c r="J13">
        <v>54.5</v>
      </c>
      <c r="M13">
        <v>24425.4</v>
      </c>
      <c r="O13">
        <v>20194</v>
      </c>
    </row>
    <row r="14" spans="4:15" ht="12.75">
      <c r="D14">
        <v>104.2</v>
      </c>
      <c r="F14">
        <v>4.75</v>
      </c>
      <c r="I14">
        <v>244.2</v>
      </c>
      <c r="J14">
        <v>50</v>
      </c>
      <c r="M14">
        <v>23486</v>
      </c>
      <c r="O14">
        <v>21680</v>
      </c>
    </row>
    <row r="15" spans="4:15" ht="12.75">
      <c r="D15">
        <v>104.38</v>
      </c>
      <c r="F15">
        <f>F13+F14</f>
        <v>9.484</v>
      </c>
      <c r="I15">
        <f>I14/I13</f>
        <v>0.9898662342926632</v>
      </c>
      <c r="J15">
        <f>J14/J13</f>
        <v>0.9174311926605505</v>
      </c>
      <c r="M15">
        <f>M13/M14*100</f>
        <v>103.99982968577027</v>
      </c>
      <c r="O15">
        <f>O14/O13*100</f>
        <v>107.35862137268495</v>
      </c>
    </row>
    <row r="16" spans="4:6" ht="12.75">
      <c r="D16">
        <f>D13+D14+D15</f>
        <v>313.38</v>
      </c>
      <c r="F16">
        <f>F15/2</f>
        <v>4.742</v>
      </c>
    </row>
    <row r="17" ht="12.75">
      <c r="D17">
        <f>D16/3</f>
        <v>104.46</v>
      </c>
    </row>
    <row r="18" spans="9:11" ht="12.75">
      <c r="I18">
        <v>112.81</v>
      </c>
      <c r="J18">
        <v>129.02</v>
      </c>
      <c r="K18">
        <f>J18-I18</f>
        <v>16.210000000000008</v>
      </c>
    </row>
    <row r="22" ht="13.5" thickBot="1"/>
    <row r="23" spans="9:11" ht="19.5" thickBot="1">
      <c r="I23" s="1012">
        <v>46.6</v>
      </c>
      <c r="J23" s="1013">
        <v>47.1</v>
      </c>
      <c r="K23">
        <f>J23/I23</f>
        <v>1.0107296137339057</v>
      </c>
    </row>
    <row r="24" spans="9:11" ht="19.5" thickBot="1">
      <c r="I24" s="1014">
        <v>198.5</v>
      </c>
      <c r="J24" s="1015">
        <v>161.6</v>
      </c>
      <c r="K24">
        <f>J24/I24</f>
        <v>0.8141057934508816</v>
      </c>
    </row>
    <row r="25" spans="9:11" ht="19.5" thickBot="1">
      <c r="I25" s="1014">
        <v>58</v>
      </c>
      <c r="J25" s="1015">
        <v>54</v>
      </c>
      <c r="K25">
        <f>J25/I25</f>
        <v>0.9310344827586207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206"/>
  <sheetViews>
    <sheetView view="pageBreakPreview" zoomScale="110" zoomScaleSheetLayoutView="110" zoomScalePageLayoutView="0" workbookViewId="0" topLeftCell="A1">
      <pane xSplit="2" ySplit="6" topLeftCell="K74" activePane="bottomRight" state="frozen"/>
      <selection pane="topLeft" activeCell="A3" sqref="A3:P3"/>
      <selection pane="topRight" activeCell="A3" sqref="A3:P3"/>
      <selection pane="bottomLeft" activeCell="A3" sqref="A3:P3"/>
      <selection pane="bottomRight" activeCell="A3" sqref="A3:P3"/>
    </sheetView>
  </sheetViews>
  <sheetFormatPr defaultColWidth="9.00390625" defaultRowHeight="12.75"/>
  <cols>
    <col min="1" max="1" width="58.625" style="184" customWidth="1"/>
    <col min="2" max="2" width="15.375" style="177" customWidth="1"/>
    <col min="3" max="10" width="8.375" style="177" hidden="1" customWidth="1"/>
    <col min="11" max="13" width="10.75390625" style="177" customWidth="1"/>
    <col min="14" max="14" width="10.25390625" style="177" customWidth="1"/>
    <col min="15" max="15" width="10.875" style="177" customWidth="1"/>
    <col min="16" max="16" width="9.75390625" style="177" customWidth="1"/>
    <col min="17" max="17" width="10.125" style="177" customWidth="1"/>
    <col min="18" max="18" width="14.875" style="177" bestFit="1" customWidth="1"/>
    <col min="19" max="19" width="15.75390625" style="177" customWidth="1"/>
    <col min="20" max="20" width="10.25390625" style="177" customWidth="1"/>
    <col min="21" max="21" width="11.00390625" style="177" customWidth="1"/>
    <col min="22" max="22" width="8.125" style="177" customWidth="1"/>
    <col min="23" max="23" width="11.00390625" style="177" customWidth="1"/>
    <col min="24" max="32" width="9.125" style="177" customWidth="1"/>
    <col min="33" max="16384" width="9.125" style="177" customWidth="1"/>
  </cols>
  <sheetData>
    <row r="1" spans="1:17" ht="12.75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301"/>
      <c r="O1" s="1301"/>
      <c r="P1" s="1301"/>
      <c r="Q1" s="420"/>
    </row>
    <row r="2" spans="1:17" ht="12.75" customHeight="1">
      <c r="A2" s="175"/>
      <c r="B2" s="484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17" ht="32.25" customHeight="1" thickBot="1">
      <c r="A3" s="1308" t="s">
        <v>409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308"/>
      <c r="M3" s="1308"/>
      <c r="N3" s="1308"/>
      <c r="O3" s="1308"/>
      <c r="P3" s="1308"/>
      <c r="Q3" s="422"/>
    </row>
    <row r="4" spans="1:17" ht="12.75">
      <c r="A4" s="1302" t="s">
        <v>0</v>
      </c>
      <c r="B4" s="1304" t="s">
        <v>1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3</v>
      </c>
      <c r="N4" s="1283" t="s">
        <v>4</v>
      </c>
      <c r="O4" s="1306"/>
      <c r="P4" s="1307"/>
      <c r="Q4" s="422"/>
    </row>
    <row r="5" spans="1:19" ht="18.75" customHeight="1">
      <c r="A5" s="1303"/>
      <c r="B5" s="1305"/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181</v>
      </c>
      <c r="I5" s="2" t="s">
        <v>184</v>
      </c>
      <c r="J5" s="2" t="s">
        <v>194</v>
      </c>
      <c r="K5" s="2" t="s">
        <v>256</v>
      </c>
      <c r="L5" s="2">
        <v>2017</v>
      </c>
      <c r="M5" s="2" t="s">
        <v>358</v>
      </c>
      <c r="N5" s="2" t="s">
        <v>380</v>
      </c>
      <c r="O5" s="2" t="s">
        <v>410</v>
      </c>
      <c r="P5" s="3" t="s">
        <v>411</v>
      </c>
      <c r="Q5" s="424"/>
      <c r="R5" s="459"/>
      <c r="S5" s="85"/>
    </row>
    <row r="6" spans="1:18" ht="16.5" customHeight="1">
      <c r="A6" s="1273" t="s">
        <v>10</v>
      </c>
      <c r="B6" s="1309"/>
      <c r="C6" s="1309"/>
      <c r="D6" s="1309"/>
      <c r="E6" s="1309"/>
      <c r="F6" s="1309"/>
      <c r="G6" s="1309"/>
      <c r="H6" s="1309"/>
      <c r="I6" s="1309"/>
      <c r="J6" s="1309"/>
      <c r="K6" s="1309"/>
      <c r="L6" s="1309"/>
      <c r="M6" s="1309"/>
      <c r="N6" s="1309"/>
      <c r="O6" s="1309"/>
      <c r="P6" s="1310"/>
      <c r="Q6" s="425"/>
      <c r="R6" s="426"/>
    </row>
    <row r="7" spans="1:19" ht="12.75">
      <c r="A7" s="4" t="s">
        <v>11</v>
      </c>
      <c r="B7" s="5" t="s">
        <v>12</v>
      </c>
      <c r="C7" s="6">
        <v>6.019</v>
      </c>
      <c r="D7" s="7">
        <v>5.897</v>
      </c>
      <c r="E7" s="7">
        <v>5.277</v>
      </c>
      <c r="F7" s="7">
        <v>5.352</v>
      </c>
      <c r="G7" s="7">
        <v>5.141</v>
      </c>
      <c r="H7" s="460">
        <v>5.197</v>
      </c>
      <c r="I7" s="460">
        <v>5.122</v>
      </c>
      <c r="J7" s="460">
        <v>4.814</v>
      </c>
      <c r="K7" s="460">
        <v>4.692</v>
      </c>
      <c r="L7" s="460">
        <v>4.734</v>
      </c>
      <c r="M7" s="460">
        <v>4.75</v>
      </c>
      <c r="N7" s="460">
        <v>4.8</v>
      </c>
      <c r="O7" s="460">
        <v>4.85</v>
      </c>
      <c r="P7" s="988">
        <v>4.9</v>
      </c>
      <c r="Q7" s="1017"/>
      <c r="R7" s="1018">
        <f>M7+L7</f>
        <v>9.484</v>
      </c>
      <c r="S7" s="1008"/>
    </row>
    <row r="8" spans="1:18" ht="22.5">
      <c r="A8" s="4"/>
      <c r="B8" s="5" t="s">
        <v>13</v>
      </c>
      <c r="C8" s="8">
        <f>SUM((C7/(2202+3923)*100))</f>
        <v>0.09826938775510204</v>
      </c>
      <c r="D8" s="8">
        <f>SUM(D7/C7*100)</f>
        <v>97.97308523010467</v>
      </c>
      <c r="E8" s="9">
        <f>SUM((E7/D7)*100)</f>
        <v>89.48617941326098</v>
      </c>
      <c r="F8" s="9">
        <f>SUM((F7/E7)*100)</f>
        <v>101.42126208072769</v>
      </c>
      <c r="G8" s="9">
        <f aca="true" t="shared" si="0" ref="G8:M8">SUM(G7/F7*100)</f>
        <v>96.0575485799701</v>
      </c>
      <c r="H8" s="9">
        <f t="shared" si="0"/>
        <v>101.08928224080917</v>
      </c>
      <c r="I8" s="9">
        <f t="shared" si="0"/>
        <v>98.55685972676544</v>
      </c>
      <c r="J8" s="598">
        <f t="shared" si="0"/>
        <v>93.98672393596252</v>
      </c>
      <c r="K8" s="598">
        <f t="shared" si="0"/>
        <v>97.46572496884089</v>
      </c>
      <c r="L8" s="598">
        <f t="shared" si="0"/>
        <v>100.89514066496163</v>
      </c>
      <c r="M8" s="598">
        <f t="shared" si="0"/>
        <v>100.33798056611745</v>
      </c>
      <c r="N8" s="598">
        <f>SUM(N7/M7*100)</f>
        <v>101.05263157894737</v>
      </c>
      <c r="O8" s="598">
        <f>SUM((O7/N7)*100)</f>
        <v>101.04166666666667</v>
      </c>
      <c r="P8" s="989">
        <f>SUM((P7/O7)*100)</f>
        <v>101.03092783505157</v>
      </c>
      <c r="Q8" s="431"/>
      <c r="R8" s="1018">
        <f>R7/2</f>
        <v>4.742</v>
      </c>
    </row>
    <row r="9" spans="1:18" ht="12.75">
      <c r="A9" s="4" t="s">
        <v>14</v>
      </c>
      <c r="B9" s="5" t="s">
        <v>12</v>
      </c>
      <c r="C9" s="6">
        <f>492+652+2349</f>
        <v>3493</v>
      </c>
      <c r="D9" s="7">
        <v>3.435</v>
      </c>
      <c r="E9" s="7">
        <v>3.258</v>
      </c>
      <c r="F9" s="7">
        <v>3.168</v>
      </c>
      <c r="G9" s="7">
        <v>3.058</v>
      </c>
      <c r="H9" s="460">
        <v>3.193</v>
      </c>
      <c r="I9" s="460">
        <v>3.2</v>
      </c>
      <c r="J9" s="460">
        <f>2.815+0.155</f>
        <v>2.9699999999999998</v>
      </c>
      <c r="K9" s="460">
        <v>2.86</v>
      </c>
      <c r="L9" s="460">
        <v>3.039</v>
      </c>
      <c r="M9" s="460">
        <v>3.045</v>
      </c>
      <c r="N9" s="460">
        <v>3.05</v>
      </c>
      <c r="O9" s="460">
        <v>3.08</v>
      </c>
      <c r="P9" s="988">
        <v>3.1</v>
      </c>
      <c r="Q9" s="1017"/>
      <c r="R9" s="1018"/>
    </row>
    <row r="10" spans="1:18" ht="22.5">
      <c r="A10" s="4"/>
      <c r="B10" s="5" t="s">
        <v>13</v>
      </c>
      <c r="C10" s="9">
        <f>SUM(C9/3559*100)</f>
        <v>98.14554650182636</v>
      </c>
      <c r="D10" s="9">
        <f>SUM(D9/C9*100)</f>
        <v>0.09833953621528771</v>
      </c>
      <c r="E10" s="9">
        <f>SUM(E9/D9*100)</f>
        <v>94.8471615720524</v>
      </c>
      <c r="F10" s="9">
        <f>SUM(F9/E9*100)</f>
        <v>97.23756906077348</v>
      </c>
      <c r="G10" s="9">
        <f aca="true" t="shared" si="1" ref="G10:M10">SUM(G9/F9*100)</f>
        <v>96.52777777777777</v>
      </c>
      <c r="H10" s="9">
        <f t="shared" si="1"/>
        <v>104.41465009810334</v>
      </c>
      <c r="I10" s="9">
        <f t="shared" si="1"/>
        <v>100.21922956467273</v>
      </c>
      <c r="J10" s="598">
        <f t="shared" si="1"/>
        <v>92.81249999999999</v>
      </c>
      <c r="K10" s="598">
        <f t="shared" si="1"/>
        <v>96.2962962962963</v>
      </c>
      <c r="L10" s="598">
        <f t="shared" si="1"/>
        <v>106.25874125874127</v>
      </c>
      <c r="M10" s="598">
        <f t="shared" si="1"/>
        <v>100.1974333662389</v>
      </c>
      <c r="N10" s="598">
        <f>SUM(N9/M9*100)</f>
        <v>100.16420361247947</v>
      </c>
      <c r="O10" s="598">
        <f>SUM(O9/N9*100)</f>
        <v>100.98360655737706</v>
      </c>
      <c r="P10" s="989">
        <f>SUM(P9/O9*100)</f>
        <v>100.64935064935065</v>
      </c>
      <c r="Q10" s="1020"/>
      <c r="R10" s="1019"/>
    </row>
    <row r="11" spans="1:22" ht="12.75">
      <c r="A11" s="4" t="s">
        <v>15</v>
      </c>
      <c r="B11" s="5" t="s">
        <v>12</v>
      </c>
      <c r="C11" s="6">
        <f aca="true" t="shared" si="2" ref="C11:P11">C7-C9</f>
        <v>-3486.981</v>
      </c>
      <c r="D11" s="7">
        <f t="shared" si="2"/>
        <v>2.462</v>
      </c>
      <c r="E11" s="7">
        <f>E7-E9</f>
        <v>2.019</v>
      </c>
      <c r="F11" s="7">
        <f>F7-F9</f>
        <v>2.184</v>
      </c>
      <c r="G11" s="7">
        <f t="shared" si="2"/>
        <v>2.083</v>
      </c>
      <c r="H11" s="460">
        <f>H7-H9+0.01</f>
        <v>2.014</v>
      </c>
      <c r="I11" s="460">
        <f>I7-I9</f>
        <v>1.9219999999999997</v>
      </c>
      <c r="J11" s="460">
        <f t="shared" si="2"/>
        <v>1.8440000000000003</v>
      </c>
      <c r="K11" s="460">
        <f t="shared" si="2"/>
        <v>1.8320000000000003</v>
      </c>
      <c r="L11" s="460">
        <f>L7-L9</f>
        <v>1.6949999999999998</v>
      </c>
      <c r="M11" s="460">
        <f>M7-M9</f>
        <v>1.705</v>
      </c>
      <c r="N11" s="460">
        <f t="shared" si="2"/>
        <v>1.75</v>
      </c>
      <c r="O11" s="460">
        <f t="shared" si="2"/>
        <v>1.7699999999999996</v>
      </c>
      <c r="P11" s="988">
        <f t="shared" si="2"/>
        <v>1.8000000000000003</v>
      </c>
      <c r="Q11" s="1021"/>
      <c r="R11" s="1021"/>
      <c r="S11" s="176"/>
      <c r="T11" s="176"/>
      <c r="U11" s="176"/>
      <c r="V11" s="176"/>
    </row>
    <row r="12" spans="1:22" ht="16.5" customHeight="1">
      <c r="A12" s="1273" t="s">
        <v>16</v>
      </c>
      <c r="B12" s="1309"/>
      <c r="C12" s="1309"/>
      <c r="D12" s="1309"/>
      <c r="E12" s="1309"/>
      <c r="F12" s="1309"/>
      <c r="G12" s="1309"/>
      <c r="H12" s="1309"/>
      <c r="I12" s="1309"/>
      <c r="J12" s="1309"/>
      <c r="K12" s="1309"/>
      <c r="L12" s="1309"/>
      <c r="M12" s="1309"/>
      <c r="N12" s="1309"/>
      <c r="O12" s="1309"/>
      <c r="P12" s="1310"/>
      <c r="Q12" s="425"/>
      <c r="R12" s="427"/>
      <c r="S12" s="176"/>
      <c r="T12" s="176"/>
      <c r="U12" s="176"/>
      <c r="V12" s="176"/>
    </row>
    <row r="13" spans="1:26" ht="12.75">
      <c r="A13" s="1311" t="s">
        <v>17</v>
      </c>
      <c r="B13" s="1312"/>
      <c r="C13" s="1309"/>
      <c r="D13" s="1309"/>
      <c r="E13" s="1309"/>
      <c r="F13" s="1309"/>
      <c r="G13" s="1309"/>
      <c r="H13" s="1309"/>
      <c r="I13" s="1309"/>
      <c r="J13" s="1309"/>
      <c r="K13" s="1309"/>
      <c r="L13" s="1309"/>
      <c r="M13" s="1309"/>
      <c r="N13" s="1309"/>
      <c r="O13" s="1309"/>
      <c r="P13" s="1310"/>
      <c r="Q13" s="425"/>
      <c r="R13" s="427"/>
      <c r="S13" s="176"/>
      <c r="T13" s="176"/>
      <c r="U13" s="176"/>
      <c r="V13" s="98"/>
      <c r="Y13" s="82"/>
      <c r="Z13" s="82"/>
    </row>
    <row r="14" spans="1:26" ht="12.75">
      <c r="A14" s="11" t="s">
        <v>18</v>
      </c>
      <c r="B14" s="5" t="s">
        <v>19</v>
      </c>
      <c r="C14" s="12">
        <f>182.842+293.508+176.248+7.989+380.445+34.892+62.635+2.06</f>
        <v>1140.619</v>
      </c>
      <c r="D14" s="12">
        <v>1879.3</v>
      </c>
      <c r="E14" s="12">
        <f>390.6+793.14*1000*1700/1000000</f>
        <v>1738.938</v>
      </c>
      <c r="F14" s="12">
        <f>413+413+837.79*1000*1700/1000000</f>
        <v>2250.243</v>
      </c>
      <c r="G14" s="125">
        <f>617.4+607.4+1089.505*1000*1600/1000000</f>
        <v>2968.008</v>
      </c>
      <c r="H14" s="125">
        <f>655.1+381+1072*1000*1400/1000000</f>
        <v>2536.8999999999996</v>
      </c>
      <c r="I14" s="125">
        <f>668.3+368+1047.144*1000*1729/1000000</f>
        <v>2846.811976</v>
      </c>
      <c r="J14" s="125">
        <f>680.4+433.3+1007.06*1000*2329.75/1000000</f>
        <v>3459.898035</v>
      </c>
      <c r="K14" s="125">
        <f>700+492.8+202.7+985.788*1000*2260.43/1000000</f>
        <v>3623.8047688399997</v>
      </c>
      <c r="L14" s="125">
        <f>526.814+370.2+178.597+1063.659*1000*2366/1000000</f>
        <v>3592.228194</v>
      </c>
      <c r="M14" s="125">
        <f>574.495+368.8+193.254+1063.659*1000*2620/1000000</f>
        <v>3923.33558</v>
      </c>
      <c r="N14" s="125">
        <f>658.809+379+189.829+1100*1000*2650/1000000</f>
        <v>4142.638</v>
      </c>
      <c r="O14" s="125">
        <f>(600+438+189)*101%+(1100*1000*2700/1000000)</f>
        <v>4209.27</v>
      </c>
      <c r="P14" s="990">
        <f>(600+438+189)*102%+(1100*1000*2750/1000000)</f>
        <v>4276.54</v>
      </c>
      <c r="Q14" s="432"/>
      <c r="R14" s="427"/>
      <c r="S14" s="1027"/>
      <c r="T14" s="602"/>
      <c r="X14" s="82"/>
      <c r="Y14" s="181"/>
      <c r="Z14" s="82"/>
    </row>
    <row r="15" spans="1:26" ht="22.5">
      <c r="A15" s="4"/>
      <c r="B15" s="5" t="s">
        <v>20</v>
      </c>
      <c r="C15" s="13"/>
      <c r="D15" s="13">
        <f aca="true" t="shared" si="3" ref="D15:P15">D14/C14*100</f>
        <v>164.7614146353866</v>
      </c>
      <c r="E15" s="13">
        <f t="shared" si="3"/>
        <v>92.53115521736818</v>
      </c>
      <c r="F15" s="13">
        <f t="shared" si="3"/>
        <v>129.40329097414627</v>
      </c>
      <c r="G15" s="13">
        <f t="shared" si="3"/>
        <v>131.89722176671586</v>
      </c>
      <c r="H15" s="13">
        <f t="shared" si="3"/>
        <v>85.47483699504852</v>
      </c>
      <c r="I15" s="13">
        <f aca="true" t="shared" si="4" ref="I15:N15">I14/H14*100</f>
        <v>112.21616839449725</v>
      </c>
      <c r="J15" s="603">
        <f t="shared" si="4"/>
        <v>121.53588168690493</v>
      </c>
      <c r="K15" s="603">
        <f t="shared" si="4"/>
        <v>104.73732844673268</v>
      </c>
      <c r="L15" s="603">
        <f t="shared" si="4"/>
        <v>99.12863476775799</v>
      </c>
      <c r="M15" s="603">
        <f t="shared" si="4"/>
        <v>109.21732607502608</v>
      </c>
      <c r="N15" s="603">
        <f t="shared" si="4"/>
        <v>105.58969314574922</v>
      </c>
      <c r="O15" s="603">
        <f t="shared" si="3"/>
        <v>101.60844370181515</v>
      </c>
      <c r="P15" s="991">
        <f t="shared" si="3"/>
        <v>101.598139344827</v>
      </c>
      <c r="Q15" s="662"/>
      <c r="R15" s="427"/>
      <c r="S15" s="176"/>
      <c r="T15" s="176"/>
      <c r="U15" s="176"/>
      <c r="V15" s="176"/>
      <c r="X15" s="82"/>
      <c r="Y15" s="310"/>
      <c r="Z15" s="181"/>
    </row>
    <row r="16" spans="1:22" ht="12.75">
      <c r="A16" s="1313" t="s">
        <v>21</v>
      </c>
      <c r="B16" s="1309"/>
      <c r="C16" s="1309"/>
      <c r="D16" s="1309"/>
      <c r="E16" s="1309"/>
      <c r="F16" s="1309"/>
      <c r="G16" s="1309"/>
      <c r="H16" s="1309"/>
      <c r="I16" s="1309"/>
      <c r="J16" s="1309"/>
      <c r="K16" s="1309"/>
      <c r="L16" s="1309"/>
      <c r="M16" s="1309"/>
      <c r="N16" s="1309"/>
      <c r="O16" s="1309"/>
      <c r="P16" s="1310"/>
      <c r="Q16" s="425"/>
      <c r="R16" s="427"/>
      <c r="S16" s="234"/>
      <c r="T16" s="176"/>
      <c r="U16" s="176"/>
      <c r="V16" s="176"/>
    </row>
    <row r="17" spans="1:19" ht="12.75">
      <c r="A17" s="1313" t="s">
        <v>22</v>
      </c>
      <c r="B17" s="1314"/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5"/>
      <c r="Q17" s="425"/>
      <c r="R17" s="427"/>
      <c r="S17" s="176"/>
    </row>
    <row r="18" spans="1:18" ht="12.75">
      <c r="A18" s="4" t="s">
        <v>18</v>
      </c>
      <c r="B18" s="5" t="s">
        <v>23</v>
      </c>
      <c r="C18" s="15">
        <f>293.508+34.892</f>
        <v>328.4</v>
      </c>
      <c r="D18" s="15">
        <v>409.4</v>
      </c>
      <c r="E18" s="15">
        <f>390.6</f>
        <v>390.6</v>
      </c>
      <c r="F18" s="15">
        <f>413+53.4</f>
        <v>466.4</v>
      </c>
      <c r="G18" s="15">
        <f>617.4+94.6</f>
        <v>712</v>
      </c>
      <c r="H18" s="15">
        <f>655.1+71</f>
        <v>726.1</v>
      </c>
      <c r="I18" s="15">
        <v>735.3</v>
      </c>
      <c r="J18" s="15">
        <v>785</v>
      </c>
      <c r="K18" s="15">
        <f>391+121.3</f>
        <v>512.3</v>
      </c>
      <c r="L18" s="1002">
        <f>180.73+33.7</f>
        <v>214.43</v>
      </c>
      <c r="M18" s="15">
        <f>196.848+33</f>
        <v>229.848</v>
      </c>
      <c r="N18" s="15">
        <f>231.817+34</f>
        <v>265.817</v>
      </c>
      <c r="O18" s="15">
        <v>270</v>
      </c>
      <c r="P18" s="1001">
        <v>290</v>
      </c>
      <c r="Q18" s="663"/>
      <c r="R18" s="426"/>
    </row>
    <row r="19" spans="1:18" ht="22.5">
      <c r="A19" s="4"/>
      <c r="B19" s="5" t="s">
        <v>20</v>
      </c>
      <c r="C19" s="16"/>
      <c r="D19" s="17">
        <f>SUM((D18/C18)*100)</f>
        <v>124.66504263093788</v>
      </c>
      <c r="E19" s="17">
        <f>SUM((E18/D18)*100)</f>
        <v>95.40791402051784</v>
      </c>
      <c r="F19" s="17">
        <f>SUM((F18/E18)*100)</f>
        <v>119.40604198668714</v>
      </c>
      <c r="G19" s="17">
        <f>SUM((G18/F18)*100)</f>
        <v>152.65866209262435</v>
      </c>
      <c r="H19" s="17">
        <f>SUM((H18/G18)*100)</f>
        <v>101.98033707865169</v>
      </c>
      <c r="I19" s="17">
        <f>SUM((I18/G18)*100)</f>
        <v>103.27247191011236</v>
      </c>
      <c r="J19" s="17">
        <f aca="true" t="shared" si="5" ref="J19:P19">SUM((J18/I18)*100)</f>
        <v>106.7591459268326</v>
      </c>
      <c r="K19" s="17">
        <f t="shared" si="5"/>
        <v>65.26114649681529</v>
      </c>
      <c r="L19" s="1003">
        <f t="shared" si="5"/>
        <v>41.85633417919188</v>
      </c>
      <c r="M19" s="17">
        <f t="shared" si="5"/>
        <v>107.1902252483328</v>
      </c>
      <c r="N19" s="17">
        <f>SUM((N18/M18)*100)</f>
        <v>115.64903762486512</v>
      </c>
      <c r="O19" s="17">
        <f t="shared" si="5"/>
        <v>101.57363900728697</v>
      </c>
      <c r="P19" s="992">
        <f t="shared" si="5"/>
        <v>107.40740740740742</v>
      </c>
      <c r="Q19" s="664"/>
      <c r="R19" s="426"/>
    </row>
    <row r="20" spans="1:18" ht="12.75">
      <c r="A20" s="1316" t="s">
        <v>182</v>
      </c>
      <c r="B20" s="1309"/>
      <c r="C20" s="1309"/>
      <c r="D20" s="1309"/>
      <c r="E20" s="1309"/>
      <c r="F20" s="1309"/>
      <c r="G20" s="1309"/>
      <c r="H20" s="1309"/>
      <c r="I20" s="1309"/>
      <c r="J20" s="1309"/>
      <c r="K20" s="1309"/>
      <c r="L20" s="1309"/>
      <c r="M20" s="1309"/>
      <c r="N20" s="1309"/>
      <c r="O20" s="1309"/>
      <c r="P20" s="1310"/>
      <c r="Q20" s="425"/>
      <c r="R20" s="426"/>
    </row>
    <row r="21" spans="1:18" ht="12.75">
      <c r="A21" s="4" t="s">
        <v>18</v>
      </c>
      <c r="B21" s="5" t="s">
        <v>23</v>
      </c>
      <c r="C21" s="18">
        <f>2.06+7.989</f>
        <v>10.049</v>
      </c>
      <c r="D21" s="19">
        <v>12.94</v>
      </c>
      <c r="E21" s="49">
        <f>6.1+10.5+3.3</f>
        <v>19.900000000000002</v>
      </c>
      <c r="F21" s="49">
        <f>8.8+2.77+0.263+9</f>
        <v>20.833</v>
      </c>
      <c r="G21" s="49">
        <f>1.2+8.1+3.5+7.8</f>
        <v>20.599999999999998</v>
      </c>
      <c r="H21" s="49">
        <v>19.43</v>
      </c>
      <c r="I21" s="49">
        <v>20.06</v>
      </c>
      <c r="J21" s="49">
        <v>24.61</v>
      </c>
      <c r="K21" s="49">
        <v>27.5</v>
      </c>
      <c r="L21" s="49">
        <v>27.1</v>
      </c>
      <c r="M21" s="49">
        <v>29.7</v>
      </c>
      <c r="N21" s="19">
        <v>32.7</v>
      </c>
      <c r="O21" s="19">
        <v>35.7</v>
      </c>
      <c r="P21" s="993">
        <v>38.9</v>
      </c>
      <c r="Q21" s="434"/>
      <c r="R21" s="426"/>
    </row>
    <row r="22" spans="1:23" ht="22.5">
      <c r="A22" s="4"/>
      <c r="B22" s="5" t="s">
        <v>20</v>
      </c>
      <c r="C22" s="20"/>
      <c r="D22" s="21">
        <f aca="true" t="shared" si="6" ref="D22:J22">D21/C21*100</f>
        <v>128.76903174445218</v>
      </c>
      <c r="E22" s="13">
        <f t="shared" si="6"/>
        <v>153.78670788253478</v>
      </c>
      <c r="F22" s="13">
        <f t="shared" si="6"/>
        <v>104.68844221105526</v>
      </c>
      <c r="G22" s="13">
        <f t="shared" si="6"/>
        <v>98.88158210531368</v>
      </c>
      <c r="H22" s="13">
        <f t="shared" si="6"/>
        <v>94.32038834951457</v>
      </c>
      <c r="I22" s="13">
        <f t="shared" si="6"/>
        <v>103.24240864642304</v>
      </c>
      <c r="J22" s="603">
        <f t="shared" si="6"/>
        <v>122.68195413758724</v>
      </c>
      <c r="K22" s="604">
        <f>SUM((K21/J21)*100)</f>
        <v>111.74319382364892</v>
      </c>
      <c r="L22" s="604">
        <f>SUM((L21/K21)*100)</f>
        <v>98.54545454545455</v>
      </c>
      <c r="M22" s="604">
        <f>SUM((M21/L21)*100)</f>
        <v>109.59409594095939</v>
      </c>
      <c r="N22" s="604">
        <f>SUM((N21/M21)*100)</f>
        <v>110.10101010101012</v>
      </c>
      <c r="O22" s="603">
        <f>O21/N21*100</f>
        <v>109.1743119266055</v>
      </c>
      <c r="P22" s="991">
        <f>P21/O21*100</f>
        <v>108.96358543417367</v>
      </c>
      <c r="Q22" s="433"/>
      <c r="R22" s="426"/>
      <c r="W22" s="181"/>
    </row>
    <row r="23" spans="1:22" ht="12.75">
      <c r="A23" s="1311" t="s">
        <v>24</v>
      </c>
      <c r="B23" s="1312"/>
      <c r="C23" s="1309"/>
      <c r="D23" s="1309"/>
      <c r="E23" s="1309"/>
      <c r="F23" s="1309"/>
      <c r="G23" s="1309"/>
      <c r="H23" s="1309"/>
      <c r="I23" s="1309"/>
      <c r="J23" s="1309"/>
      <c r="K23" s="1309"/>
      <c r="L23" s="1309"/>
      <c r="M23" s="1309"/>
      <c r="N23" s="1309"/>
      <c r="O23" s="1309"/>
      <c r="P23" s="1310"/>
      <c r="Q23" s="425"/>
      <c r="R23" s="426"/>
      <c r="U23" s="181"/>
      <c r="V23" s="181"/>
    </row>
    <row r="24" spans="1:18" ht="12.75">
      <c r="A24" s="22" t="s">
        <v>25</v>
      </c>
      <c r="B24" s="23" t="s">
        <v>26</v>
      </c>
      <c r="C24" s="24">
        <v>57967</v>
      </c>
      <c r="D24" s="24">
        <v>66121.3</v>
      </c>
      <c r="E24" s="24">
        <v>54347</v>
      </c>
      <c r="F24" s="24">
        <f>10632.264+49729</f>
        <v>60361.263999999996</v>
      </c>
      <c r="G24" s="24">
        <f>4392.586+42492</f>
        <v>46884.586</v>
      </c>
      <c r="H24" s="239">
        <f>51433+9743.1</f>
        <v>61176.1</v>
      </c>
      <c r="I24" s="239">
        <v>58285.55</v>
      </c>
      <c r="J24" s="239">
        <v>55581.7</v>
      </c>
      <c r="K24" s="239">
        <v>49971.5</v>
      </c>
      <c r="L24" s="239">
        <v>50900.7</v>
      </c>
      <c r="M24" s="239">
        <v>52441.1</v>
      </c>
      <c r="N24" s="239">
        <v>55325</v>
      </c>
      <c r="O24" s="239">
        <v>55878.25</v>
      </c>
      <c r="P24" s="994">
        <v>56437</v>
      </c>
      <c r="Q24" s="435"/>
      <c r="R24" s="426"/>
    </row>
    <row r="25" spans="1:18" ht="12.75">
      <c r="A25" s="1317" t="s">
        <v>27</v>
      </c>
      <c r="B25" s="1318"/>
      <c r="C25" s="1318"/>
      <c r="D25" s="1318"/>
      <c r="E25" s="1318"/>
      <c r="F25" s="1318"/>
      <c r="G25" s="1318"/>
      <c r="H25" s="1318"/>
      <c r="I25" s="1318"/>
      <c r="J25" s="1318"/>
      <c r="K25" s="1318"/>
      <c r="L25" s="1318"/>
      <c r="M25" s="1318"/>
      <c r="N25" s="1318"/>
      <c r="O25" s="1318"/>
      <c r="P25" s="1310"/>
      <c r="Q25" s="425"/>
      <c r="R25" s="426"/>
    </row>
    <row r="26" spans="1:19" ht="12" customHeight="1">
      <c r="A26" s="22" t="s">
        <v>28</v>
      </c>
      <c r="B26" s="23" t="s">
        <v>26</v>
      </c>
      <c r="C26" s="24">
        <f>1429.2+47882.6</f>
        <v>49311.799999999996</v>
      </c>
      <c r="D26" s="24">
        <v>51481.7</v>
      </c>
      <c r="E26" s="24">
        <v>46850</v>
      </c>
      <c r="F26" s="24">
        <f>536.883+42338</f>
        <v>42874.883</v>
      </c>
      <c r="G26" s="24">
        <f>876.06+35020</f>
        <v>35896.06</v>
      </c>
      <c r="H26" s="239">
        <f>28334</f>
        <v>28334</v>
      </c>
      <c r="I26" s="239">
        <v>41104</v>
      </c>
      <c r="J26" s="239">
        <v>41845.9</v>
      </c>
      <c r="K26" s="239">
        <v>35997.5</v>
      </c>
      <c r="L26" s="239">
        <v>39766.5</v>
      </c>
      <c r="M26" s="239">
        <v>39250.5</v>
      </c>
      <c r="N26" s="239">
        <v>42500.1</v>
      </c>
      <c r="O26" s="239">
        <v>42925.1</v>
      </c>
      <c r="P26" s="994">
        <v>43354.35</v>
      </c>
      <c r="Q26" s="435"/>
      <c r="R26" s="426"/>
      <c r="S26" s="178"/>
    </row>
    <row r="27" spans="1:18" ht="12.75">
      <c r="A27" s="25" t="s">
        <v>29</v>
      </c>
      <c r="B27" s="23" t="s">
        <v>26</v>
      </c>
      <c r="C27" s="24">
        <f>63.6+74.94</f>
        <v>138.54</v>
      </c>
      <c r="D27" s="24">
        <v>168.1</v>
      </c>
      <c r="E27" s="24">
        <v>105</v>
      </c>
      <c r="F27" s="24">
        <f>61.894+92</f>
        <v>153.894</v>
      </c>
      <c r="G27" s="24">
        <f>48.665+86</f>
        <v>134.665</v>
      </c>
      <c r="H27" s="239">
        <f>154+61.4</f>
        <v>215.4</v>
      </c>
      <c r="I27" s="239">
        <v>184.3</v>
      </c>
      <c r="J27" s="239">
        <v>2130.8</v>
      </c>
      <c r="K27" s="239">
        <v>2212</v>
      </c>
      <c r="L27" s="239">
        <v>279.6</v>
      </c>
      <c r="M27" s="239">
        <v>487.7</v>
      </c>
      <c r="N27" s="239">
        <v>567.7</v>
      </c>
      <c r="O27" s="239">
        <v>573.38</v>
      </c>
      <c r="P27" s="994">
        <v>579.11</v>
      </c>
      <c r="Q27" s="435"/>
      <c r="R27" s="426"/>
    </row>
    <row r="28" spans="1:18" ht="12.75">
      <c r="A28" s="22" t="s">
        <v>30</v>
      </c>
      <c r="B28" s="23" t="s">
        <v>26</v>
      </c>
      <c r="C28" s="24">
        <f>2314.7+2500.53</f>
        <v>4815.23</v>
      </c>
      <c r="D28" s="24">
        <v>4811.7</v>
      </c>
      <c r="E28" s="24">
        <v>3176</v>
      </c>
      <c r="F28" s="24">
        <f>1760.159+3386</f>
        <v>5146.159</v>
      </c>
      <c r="G28" s="24">
        <f>2081.551+3283</f>
        <v>5364.5509999999995</v>
      </c>
      <c r="H28" s="239">
        <f>3515+1941.2</f>
        <v>5456.2</v>
      </c>
      <c r="I28" s="239">
        <v>5248.3</v>
      </c>
      <c r="J28" s="239">
        <v>4733.8</v>
      </c>
      <c r="K28" s="239">
        <v>5132.1</v>
      </c>
      <c r="L28" s="239">
        <v>4829.8</v>
      </c>
      <c r="M28" s="239">
        <v>5059.9</v>
      </c>
      <c r="N28" s="239">
        <v>4935.6</v>
      </c>
      <c r="O28" s="239">
        <v>4984.96</v>
      </c>
      <c r="P28" s="994">
        <v>5034.81</v>
      </c>
      <c r="Q28" s="435"/>
      <c r="R28" s="426"/>
    </row>
    <row r="29" spans="1:21" ht="15" customHeight="1">
      <c r="A29" s="1273" t="s">
        <v>480</v>
      </c>
      <c r="B29" s="1309"/>
      <c r="C29" s="1309"/>
      <c r="D29" s="1309"/>
      <c r="E29" s="1309"/>
      <c r="F29" s="1309"/>
      <c r="G29" s="1309"/>
      <c r="H29" s="1309"/>
      <c r="I29" s="1309"/>
      <c r="J29" s="1309"/>
      <c r="K29" s="1309"/>
      <c r="L29" s="1309"/>
      <c r="M29" s="1309"/>
      <c r="N29" s="1309"/>
      <c r="O29" s="1309"/>
      <c r="P29" s="1310"/>
      <c r="Q29" s="425"/>
      <c r="R29" s="426"/>
      <c r="T29" s="178"/>
      <c r="U29" s="178"/>
    </row>
    <row r="30" spans="1:18" ht="12.75">
      <c r="A30" s="1311" t="s">
        <v>31</v>
      </c>
      <c r="B30" s="1312"/>
      <c r="C30" s="1309"/>
      <c r="D30" s="1309"/>
      <c r="E30" s="1309"/>
      <c r="F30" s="1309"/>
      <c r="G30" s="1309"/>
      <c r="H30" s="1309"/>
      <c r="I30" s="1309"/>
      <c r="J30" s="1309"/>
      <c r="K30" s="1309"/>
      <c r="L30" s="1309"/>
      <c r="M30" s="1309"/>
      <c r="N30" s="1309"/>
      <c r="O30" s="1309"/>
      <c r="P30" s="1310"/>
      <c r="Q30" s="425"/>
      <c r="R30" s="426"/>
    </row>
    <row r="31" spans="1:18" ht="12.75">
      <c r="A31" s="4" t="s">
        <v>18</v>
      </c>
      <c r="B31" s="5" t="s">
        <v>23</v>
      </c>
      <c r="C31" s="12">
        <f aca="true" t="shared" si="7" ref="C31:P31">C34+C36+C39</f>
        <v>16.553</v>
      </c>
      <c r="D31" s="12">
        <f t="shared" si="7"/>
        <v>32.303999999999995</v>
      </c>
      <c r="E31" s="12">
        <f t="shared" si="7"/>
        <v>52.89</v>
      </c>
      <c r="F31" s="12">
        <f t="shared" si="7"/>
        <v>67.492</v>
      </c>
      <c r="G31" s="12">
        <f t="shared" si="7"/>
        <v>64.274</v>
      </c>
      <c r="H31" s="12">
        <f t="shared" si="7"/>
        <v>68.845</v>
      </c>
      <c r="I31" s="12">
        <f t="shared" si="7"/>
        <v>71.009</v>
      </c>
      <c r="J31" s="12">
        <f t="shared" si="7"/>
        <v>92.71300000000001</v>
      </c>
      <c r="K31" s="12">
        <f t="shared" si="7"/>
        <v>103.60000000000001</v>
      </c>
      <c r="L31" s="904">
        <f>L34+L36+L39</f>
        <v>112.81</v>
      </c>
      <c r="M31" s="904">
        <f>M34+M36+M39</f>
        <v>129.024</v>
      </c>
      <c r="N31" s="904">
        <f t="shared" si="7"/>
        <v>93.544</v>
      </c>
      <c r="O31" s="904">
        <f t="shared" si="7"/>
        <v>93.544</v>
      </c>
      <c r="P31" s="905">
        <f t="shared" si="7"/>
        <v>93.544</v>
      </c>
      <c r="Q31" s="665"/>
      <c r="R31" s="426"/>
    </row>
    <row r="32" spans="1:18" ht="22.5">
      <c r="A32" s="4"/>
      <c r="B32" s="5" t="s">
        <v>20</v>
      </c>
      <c r="C32" s="16"/>
      <c r="D32" s="16">
        <f aca="true" t="shared" si="8" ref="D32:J32">SUM(D31/C31*100)</f>
        <v>195.1549568054129</v>
      </c>
      <c r="E32" s="16">
        <f t="shared" si="8"/>
        <v>163.72585438335813</v>
      </c>
      <c r="F32" s="16">
        <f t="shared" si="8"/>
        <v>127.60824352429572</v>
      </c>
      <c r="G32" s="16">
        <f t="shared" si="8"/>
        <v>95.2320274995555</v>
      </c>
      <c r="H32" s="16">
        <f t="shared" si="8"/>
        <v>107.111740361577</v>
      </c>
      <c r="I32" s="590">
        <f t="shared" si="8"/>
        <v>103.14329290435036</v>
      </c>
      <c r="J32" s="590">
        <f t="shared" si="8"/>
        <v>130.56513963018773</v>
      </c>
      <c r="K32" s="604">
        <f>SUM((K31/J31)*100)</f>
        <v>111.74268980617606</v>
      </c>
      <c r="L32" s="604">
        <f>SUM((L31/K31)*100)</f>
        <v>108.88996138996139</v>
      </c>
      <c r="M32" s="604">
        <f>SUM((M31/L31)*100)</f>
        <v>114.37283928729723</v>
      </c>
      <c r="N32" s="604">
        <f>SUM((N31/L31)*100)</f>
        <v>82.92172679726974</v>
      </c>
      <c r="O32" s="995">
        <f>SUM(O31/N31*100)</f>
        <v>100</v>
      </c>
      <c r="P32" s="996">
        <f>SUM(P31/O31*100)</f>
        <v>100</v>
      </c>
      <c r="Q32" s="437"/>
      <c r="R32" s="426"/>
    </row>
    <row r="33" spans="1:18" ht="12.75">
      <c r="A33" s="1313" t="s">
        <v>32</v>
      </c>
      <c r="B33" s="1309"/>
      <c r="C33" s="1309"/>
      <c r="D33" s="1309"/>
      <c r="E33" s="1309"/>
      <c r="F33" s="1309"/>
      <c r="G33" s="1309"/>
      <c r="H33" s="1309"/>
      <c r="I33" s="1309"/>
      <c r="J33" s="1309"/>
      <c r="K33" s="1309"/>
      <c r="L33" s="1309"/>
      <c r="M33" s="1309"/>
      <c r="N33" s="1309"/>
      <c r="O33" s="1309"/>
      <c r="P33" s="1310"/>
      <c r="Q33" s="425"/>
      <c r="R33" s="426"/>
    </row>
    <row r="34" spans="1:18" ht="12.75">
      <c r="A34" s="26" t="s">
        <v>33</v>
      </c>
      <c r="B34" s="27" t="s">
        <v>23</v>
      </c>
      <c r="C34" s="28">
        <f>3.347+6.669+5.35</f>
        <v>15.366</v>
      </c>
      <c r="D34" s="28">
        <f>11.488+12.184+8.1</f>
        <v>31.772</v>
      </c>
      <c r="E34" s="28">
        <f>8.945+13.078+20.346</f>
        <v>42.369</v>
      </c>
      <c r="F34" s="28">
        <f>20.038+14.913+23.332</f>
        <v>58.283</v>
      </c>
      <c r="G34" s="28">
        <f>27.952+6.418+14.505</f>
        <v>48.87500000000001</v>
      </c>
      <c r="H34" s="28">
        <v>50.9</v>
      </c>
      <c r="I34" s="28">
        <v>54.109</v>
      </c>
      <c r="J34" s="28">
        <v>74.712</v>
      </c>
      <c r="K34" s="28">
        <v>87</v>
      </c>
      <c r="L34" s="902">
        <v>87.182</v>
      </c>
      <c r="M34" s="902">
        <v>100.324</v>
      </c>
      <c r="N34" s="902">
        <v>63.544</v>
      </c>
      <c r="O34" s="902">
        <f>N34</f>
        <v>63.544</v>
      </c>
      <c r="P34" s="903">
        <f>N34</f>
        <v>63.544</v>
      </c>
      <c r="Q34" s="430"/>
      <c r="R34" s="426"/>
    </row>
    <row r="35" spans="1:18" ht="24">
      <c r="A35" s="29"/>
      <c r="B35" s="27" t="s">
        <v>34</v>
      </c>
      <c r="C35" s="30"/>
      <c r="D35" s="31">
        <f aca="true" t="shared" si="9" ref="D35:J35">SUM(D34/C34*100)</f>
        <v>206.76818950930627</v>
      </c>
      <c r="E35" s="31">
        <f t="shared" si="9"/>
        <v>133.35326702757143</v>
      </c>
      <c r="F35" s="31">
        <f t="shared" si="9"/>
        <v>137.56048054001747</v>
      </c>
      <c r="G35" s="31">
        <f t="shared" si="9"/>
        <v>83.85807182197212</v>
      </c>
      <c r="H35" s="31">
        <f t="shared" si="9"/>
        <v>104.14322250639385</v>
      </c>
      <c r="I35" s="31">
        <f t="shared" si="9"/>
        <v>106.30451866404715</v>
      </c>
      <c r="J35" s="597">
        <f t="shared" si="9"/>
        <v>138.0768448871722</v>
      </c>
      <c r="K35" s="604">
        <f>SUM((K34/J34)*100)</f>
        <v>116.44715708319949</v>
      </c>
      <c r="L35" s="604">
        <f>SUM((L34/K34)*100)</f>
        <v>100.20919540229885</v>
      </c>
      <c r="M35" s="604">
        <f>SUM((M34/L34)*100)</f>
        <v>115.07421256681425</v>
      </c>
      <c r="N35" s="604">
        <f>SUM((N34/L34)*100)</f>
        <v>72.88660503314904</v>
      </c>
      <c r="O35" s="597">
        <f>SUM(O34/N34*100)</f>
        <v>100</v>
      </c>
      <c r="P35" s="997">
        <f>SUM(P34/O34*100)</f>
        <v>100</v>
      </c>
      <c r="Q35" s="438"/>
      <c r="R35" s="426"/>
    </row>
    <row r="36" spans="1:18" ht="18.75">
      <c r="A36" s="591" t="s">
        <v>35</v>
      </c>
      <c r="B36" s="27" t="s">
        <v>23</v>
      </c>
      <c r="C36" s="592">
        <f>0.109+0.011+0.414</f>
        <v>0.534</v>
      </c>
      <c r="D36" s="593">
        <f>0.29</f>
        <v>0.29</v>
      </c>
      <c r="E36" s="593">
        <v>10.467</v>
      </c>
      <c r="F36" s="593">
        <v>9.083</v>
      </c>
      <c r="G36" s="593">
        <v>14.564</v>
      </c>
      <c r="H36" s="593">
        <v>16.64</v>
      </c>
      <c r="I36" s="593">
        <v>15.8</v>
      </c>
      <c r="J36" s="593">
        <v>16.701</v>
      </c>
      <c r="K36" s="593">
        <v>15.4</v>
      </c>
      <c r="L36" s="722">
        <v>25.628</v>
      </c>
      <c r="M36" s="722">
        <v>28.7</v>
      </c>
      <c r="N36" s="723">
        <v>30</v>
      </c>
      <c r="O36" s="722">
        <v>30</v>
      </c>
      <c r="P36" s="724">
        <v>30</v>
      </c>
      <c r="Q36" s="478"/>
      <c r="R36" s="426"/>
    </row>
    <row r="37" spans="1:18" ht="22.5">
      <c r="A37" s="594"/>
      <c r="B37" s="5" t="s">
        <v>36</v>
      </c>
      <c r="C37" s="595"/>
      <c r="D37" s="596">
        <v>0</v>
      </c>
      <c r="E37" s="596">
        <v>0</v>
      </c>
      <c r="F37" s="597">
        <f aca="true" t="shared" si="10" ref="F37:P37">SUM(F36/E36*100)</f>
        <v>86.77749116270182</v>
      </c>
      <c r="G37" s="597">
        <f t="shared" si="10"/>
        <v>160.34349884399427</v>
      </c>
      <c r="H37" s="597">
        <f t="shared" si="10"/>
        <v>114.25432573468828</v>
      </c>
      <c r="I37" s="597">
        <f>SUM(I36/H36*100)</f>
        <v>94.95192307692307</v>
      </c>
      <c r="J37" s="597">
        <f>SUM(J36/I36*100)</f>
        <v>105.70253164556962</v>
      </c>
      <c r="K37" s="604">
        <f>SUM((K36/J36)*100)</f>
        <v>92.21004730255673</v>
      </c>
      <c r="L37" s="604">
        <f>SUM((L36/K36)*100)</f>
        <v>166.41558441558442</v>
      </c>
      <c r="M37" s="604">
        <f>SUM((M36/L36)*100)</f>
        <v>111.9868893397846</v>
      </c>
      <c r="N37" s="604">
        <f>SUM((N36/M36)*100)</f>
        <v>104.52961672473869</v>
      </c>
      <c r="O37" s="597">
        <f t="shared" si="10"/>
        <v>100</v>
      </c>
      <c r="P37" s="997">
        <f t="shared" si="10"/>
        <v>100</v>
      </c>
      <c r="Q37" s="438"/>
      <c r="R37" s="426"/>
    </row>
    <row r="38" spans="1:18" ht="12.75">
      <c r="A38" s="26" t="s">
        <v>37</v>
      </c>
      <c r="B38" s="27"/>
      <c r="C38" s="30"/>
      <c r="D38" s="30"/>
      <c r="E38" s="32"/>
      <c r="F38" s="32"/>
      <c r="G38" s="32"/>
      <c r="H38" s="32"/>
      <c r="I38" s="32"/>
      <c r="J38" s="32"/>
      <c r="K38" s="32"/>
      <c r="L38" s="32"/>
      <c r="M38" s="32"/>
      <c r="N38" s="35"/>
      <c r="O38" s="35"/>
      <c r="P38" s="36"/>
      <c r="Q38" s="440"/>
      <c r="R38" s="426"/>
    </row>
    <row r="39" spans="1:18" ht="12.75">
      <c r="A39" s="29" t="s">
        <v>18</v>
      </c>
      <c r="B39" s="27" t="s">
        <v>23</v>
      </c>
      <c r="C39" s="33">
        <v>0.653</v>
      </c>
      <c r="D39" s="33">
        <f>0.152+0.09</f>
        <v>0.242</v>
      </c>
      <c r="E39" s="33">
        <f>0.054</f>
        <v>0.054</v>
      </c>
      <c r="F39" s="33">
        <v>0.126</v>
      </c>
      <c r="G39" s="33">
        <v>0.835</v>
      </c>
      <c r="H39" s="33">
        <v>1.305</v>
      </c>
      <c r="I39" s="33">
        <v>1.1</v>
      </c>
      <c r="J39" s="592">
        <v>1.3</v>
      </c>
      <c r="K39" s="592">
        <v>1.2</v>
      </c>
      <c r="L39" s="907">
        <v>0</v>
      </c>
      <c r="M39" s="907">
        <v>0</v>
      </c>
      <c r="N39" s="908">
        <v>0</v>
      </c>
      <c r="O39" s="909">
        <v>0</v>
      </c>
      <c r="P39" s="910">
        <v>0</v>
      </c>
      <c r="Q39" s="430"/>
      <c r="R39" s="426"/>
    </row>
    <row r="40" spans="1:18" ht="22.5">
      <c r="A40" s="29"/>
      <c r="B40" s="5" t="s">
        <v>20</v>
      </c>
      <c r="C40" s="34"/>
      <c r="D40" s="34">
        <f>SUM(D39/C39*100)</f>
        <v>37.05972434915773</v>
      </c>
      <c r="E40" s="37">
        <f>SUM(E39/C39*100)</f>
        <v>8.269525267993874</v>
      </c>
      <c r="F40" s="37">
        <f>SUM(F39/D39*100)</f>
        <v>52.066115702479344</v>
      </c>
      <c r="G40" s="37">
        <f>SUM(G39/F39*100)</f>
        <v>662.6984126984127</v>
      </c>
      <c r="H40" s="37">
        <f>SUM(H39/G39*100)</f>
        <v>156.2874251497006</v>
      </c>
      <c r="I40" s="37">
        <f>SUM(I39/H39*100)</f>
        <v>84.29118773946361</v>
      </c>
      <c r="J40" s="605">
        <f>SUM(J39/I39*100)</f>
        <v>118.18181818181816</v>
      </c>
      <c r="K40" s="604">
        <f>SUM((K39/J39)*100)</f>
        <v>92.3076923076923</v>
      </c>
      <c r="L40" s="911">
        <f>SUM((L39/K39)*100)</f>
        <v>0</v>
      </c>
      <c r="M40" s="911">
        <v>0</v>
      </c>
      <c r="N40" s="911">
        <v>0</v>
      </c>
      <c r="O40" s="912">
        <v>0</v>
      </c>
      <c r="P40" s="913">
        <v>0</v>
      </c>
      <c r="Q40" s="441"/>
      <c r="R40" s="426"/>
    </row>
    <row r="41" spans="1:18" ht="22.5">
      <c r="A41" s="38" t="s">
        <v>38</v>
      </c>
      <c r="B41" s="39" t="s">
        <v>39</v>
      </c>
      <c r="C41" s="40">
        <v>4</v>
      </c>
      <c r="D41" s="40">
        <v>4</v>
      </c>
      <c r="E41" s="40">
        <v>4</v>
      </c>
      <c r="F41" s="40">
        <v>4</v>
      </c>
      <c r="G41" s="224">
        <f>G43+G44</f>
        <v>4</v>
      </c>
      <c r="H41" s="224">
        <v>4</v>
      </c>
      <c r="I41" s="224">
        <f aca="true" t="shared" si="11" ref="I41:P41">I43+I44</f>
        <v>4</v>
      </c>
      <c r="J41" s="224">
        <f t="shared" si="11"/>
        <v>4</v>
      </c>
      <c r="K41" s="224">
        <f t="shared" si="11"/>
        <v>4</v>
      </c>
      <c r="L41" s="224">
        <f>L43+L44</f>
        <v>4</v>
      </c>
      <c r="M41" s="224">
        <v>4</v>
      </c>
      <c r="N41" s="224">
        <f t="shared" si="11"/>
        <v>4</v>
      </c>
      <c r="O41" s="224">
        <f t="shared" si="11"/>
        <v>4</v>
      </c>
      <c r="P41" s="998">
        <f t="shared" si="11"/>
        <v>4</v>
      </c>
      <c r="Q41" s="439"/>
      <c r="R41" s="426"/>
    </row>
    <row r="42" spans="1:18" ht="12.75">
      <c r="A42" s="1313" t="s">
        <v>32</v>
      </c>
      <c r="B42" s="1309"/>
      <c r="C42" s="1309"/>
      <c r="D42" s="1309"/>
      <c r="E42" s="1309"/>
      <c r="F42" s="1309"/>
      <c r="G42" s="1309"/>
      <c r="H42" s="1309"/>
      <c r="I42" s="1309"/>
      <c r="J42" s="1309"/>
      <c r="K42" s="1309"/>
      <c r="L42" s="1309"/>
      <c r="M42" s="1309"/>
      <c r="N42" s="1309"/>
      <c r="O42" s="1309"/>
      <c r="P42" s="1310"/>
      <c r="Q42" s="425"/>
      <c r="R42" s="426"/>
    </row>
    <row r="43" spans="1:18" ht="12.75">
      <c r="A43" s="4" t="s">
        <v>40</v>
      </c>
      <c r="B43" s="5" t="s">
        <v>39</v>
      </c>
      <c r="C43" s="40">
        <v>3</v>
      </c>
      <c r="D43" s="40">
        <v>3</v>
      </c>
      <c r="E43" s="40">
        <v>3</v>
      </c>
      <c r="F43" s="40">
        <v>3</v>
      </c>
      <c r="G43" s="40">
        <v>3</v>
      </c>
      <c r="H43" s="40">
        <v>3</v>
      </c>
      <c r="I43" s="40">
        <v>3</v>
      </c>
      <c r="J43" s="40">
        <v>3</v>
      </c>
      <c r="K43" s="40">
        <v>3</v>
      </c>
      <c r="L43" s="40">
        <v>3</v>
      </c>
      <c r="M43" s="40">
        <v>3</v>
      </c>
      <c r="N43" s="40">
        <v>3</v>
      </c>
      <c r="O43" s="40">
        <v>3</v>
      </c>
      <c r="P43" s="999">
        <v>3</v>
      </c>
      <c r="Q43" s="439"/>
      <c r="R43" s="426"/>
    </row>
    <row r="44" spans="1:18" ht="12.75">
      <c r="A44" s="41" t="s">
        <v>41</v>
      </c>
      <c r="B44" s="5" t="s">
        <v>39</v>
      </c>
      <c r="C44" s="40">
        <v>1</v>
      </c>
      <c r="D44" s="40">
        <v>1</v>
      </c>
      <c r="E44" s="40">
        <v>1</v>
      </c>
      <c r="F44" s="40">
        <v>1</v>
      </c>
      <c r="G44" s="40">
        <v>1</v>
      </c>
      <c r="H44" s="40">
        <v>1</v>
      </c>
      <c r="I44" s="40">
        <v>1</v>
      </c>
      <c r="J44" s="40">
        <v>1</v>
      </c>
      <c r="K44" s="40">
        <v>1</v>
      </c>
      <c r="L44" s="40">
        <v>1</v>
      </c>
      <c r="M44" s="40">
        <v>1</v>
      </c>
      <c r="N44" s="40">
        <v>1</v>
      </c>
      <c r="O44" s="40">
        <v>1</v>
      </c>
      <c r="P44" s="999">
        <v>1</v>
      </c>
      <c r="Q44" s="439"/>
      <c r="R44" s="426"/>
    </row>
    <row r="45" spans="1:18" ht="12.75">
      <c r="A45" s="41" t="s">
        <v>42</v>
      </c>
      <c r="B45" s="5" t="s">
        <v>39</v>
      </c>
      <c r="C45" s="42" t="s">
        <v>43</v>
      </c>
      <c r="D45" s="42" t="s">
        <v>43</v>
      </c>
      <c r="E45" s="75" t="s">
        <v>43</v>
      </c>
      <c r="F45" s="75" t="s">
        <v>43</v>
      </c>
      <c r="G45" s="126" t="s">
        <v>43</v>
      </c>
      <c r="H45" s="126" t="s">
        <v>43</v>
      </c>
      <c r="I45" s="126" t="s">
        <v>43</v>
      </c>
      <c r="J45" s="126" t="s">
        <v>43</v>
      </c>
      <c r="K45" s="126" t="s">
        <v>43</v>
      </c>
      <c r="L45" s="126" t="s">
        <v>43</v>
      </c>
      <c r="M45" s="126" t="s">
        <v>43</v>
      </c>
      <c r="N45" s="126" t="s">
        <v>43</v>
      </c>
      <c r="O45" s="126" t="s">
        <v>43</v>
      </c>
      <c r="P45" s="1000" t="s">
        <v>43</v>
      </c>
      <c r="Q45" s="427"/>
      <c r="R45" s="426"/>
    </row>
    <row r="46" spans="1:18" ht="15.75" customHeight="1">
      <c r="A46" s="1273" t="s">
        <v>44</v>
      </c>
      <c r="B46" s="1309"/>
      <c r="C46" s="1309"/>
      <c r="D46" s="1309"/>
      <c r="E46" s="1309"/>
      <c r="F46" s="1309"/>
      <c r="G46" s="1309"/>
      <c r="H46" s="1309"/>
      <c r="I46" s="1309"/>
      <c r="J46" s="1309"/>
      <c r="K46" s="1309"/>
      <c r="L46" s="1309"/>
      <c r="M46" s="1309"/>
      <c r="N46" s="1309"/>
      <c r="O46" s="1309"/>
      <c r="P46" s="1310"/>
      <c r="Q46" s="425"/>
      <c r="R46" s="426"/>
    </row>
    <row r="47" spans="1:18" ht="23.25" customHeight="1">
      <c r="A47" s="4" t="s">
        <v>45</v>
      </c>
      <c r="B47" s="5" t="s">
        <v>46</v>
      </c>
      <c r="C47" s="43">
        <v>3.17</v>
      </c>
      <c r="D47" s="43">
        <v>3.17</v>
      </c>
      <c r="E47" s="43">
        <v>3.17</v>
      </c>
      <c r="F47" s="43">
        <v>3.17</v>
      </c>
      <c r="G47" s="43">
        <v>3.17</v>
      </c>
      <c r="H47" s="296">
        <v>3.17</v>
      </c>
      <c r="I47" s="296">
        <v>3.17</v>
      </c>
      <c r="J47" s="296">
        <v>3.17</v>
      </c>
      <c r="K47" s="296">
        <v>3.17</v>
      </c>
      <c r="L47" s="296">
        <v>3.17</v>
      </c>
      <c r="M47" s="296">
        <v>3.17</v>
      </c>
      <c r="N47" s="296">
        <v>3.17</v>
      </c>
      <c r="O47" s="296">
        <v>3.17</v>
      </c>
      <c r="P47" s="297">
        <v>3.17</v>
      </c>
      <c r="Q47" s="439"/>
      <c r="R47" s="426"/>
    </row>
    <row r="48" spans="1:18" ht="15.75" customHeight="1">
      <c r="A48" s="1273" t="s">
        <v>497</v>
      </c>
      <c r="B48" s="1309"/>
      <c r="C48" s="1309"/>
      <c r="D48" s="1309"/>
      <c r="E48" s="1309"/>
      <c r="F48" s="1309"/>
      <c r="G48" s="1309"/>
      <c r="H48" s="1309"/>
      <c r="I48" s="1309"/>
      <c r="J48" s="1309"/>
      <c r="K48" s="1309"/>
      <c r="L48" s="1309"/>
      <c r="M48" s="1309"/>
      <c r="N48" s="1309"/>
      <c r="O48" s="1309"/>
      <c r="P48" s="1310"/>
      <c r="Q48" s="425"/>
      <c r="R48" s="426"/>
    </row>
    <row r="49" spans="1:18" ht="21">
      <c r="A49" s="14" t="s">
        <v>498</v>
      </c>
      <c r="B49" s="39" t="s">
        <v>39</v>
      </c>
      <c r="C49" s="955">
        <v>17</v>
      </c>
      <c r="D49" s="956">
        <v>17</v>
      </c>
      <c r="E49" s="955">
        <f aca="true" t="shared" si="12" ref="E49:K49">E51+E55+E56+E57</f>
        <v>25</v>
      </c>
      <c r="F49" s="955">
        <f t="shared" si="12"/>
        <v>28</v>
      </c>
      <c r="G49" s="955">
        <f t="shared" si="12"/>
        <v>35</v>
      </c>
      <c r="H49" s="955">
        <f t="shared" si="12"/>
        <v>35</v>
      </c>
      <c r="I49" s="957">
        <f t="shared" si="12"/>
        <v>39</v>
      </c>
      <c r="J49" s="957">
        <f t="shared" si="12"/>
        <v>42</v>
      </c>
      <c r="K49" s="957">
        <f t="shared" si="12"/>
        <v>40</v>
      </c>
      <c r="L49" s="229">
        <v>102</v>
      </c>
      <c r="M49" s="229">
        <v>104</v>
      </c>
      <c r="N49" s="229">
        <v>104</v>
      </c>
      <c r="O49" s="229">
        <v>106</v>
      </c>
      <c r="P49" s="978">
        <v>106</v>
      </c>
      <c r="Q49" s="442"/>
      <c r="R49" s="426"/>
    </row>
    <row r="50" spans="1:18" ht="12.75">
      <c r="A50" s="1319" t="s">
        <v>505</v>
      </c>
      <c r="B50" s="1309"/>
      <c r="C50" s="1309"/>
      <c r="D50" s="1309"/>
      <c r="E50" s="1309"/>
      <c r="F50" s="1309"/>
      <c r="G50" s="1309"/>
      <c r="H50" s="1309"/>
      <c r="I50" s="1309"/>
      <c r="J50" s="1309"/>
      <c r="K50" s="1309"/>
      <c r="L50" s="1309"/>
      <c r="M50" s="1309"/>
      <c r="N50" s="1309"/>
      <c r="O50" s="1309"/>
      <c r="P50" s="1310"/>
      <c r="Q50" s="425"/>
      <c r="R50" s="426"/>
    </row>
    <row r="51" spans="1:18" ht="12.75">
      <c r="A51" s="46" t="s">
        <v>499</v>
      </c>
      <c r="B51" s="5" t="s">
        <v>87</v>
      </c>
      <c r="C51" s="959">
        <v>4</v>
      </c>
      <c r="D51" s="960">
        <v>3</v>
      </c>
      <c r="E51" s="960">
        <v>4</v>
      </c>
      <c r="F51" s="960">
        <v>4</v>
      </c>
      <c r="G51" s="960">
        <v>4</v>
      </c>
      <c r="H51" s="960">
        <v>4</v>
      </c>
      <c r="I51" s="960">
        <v>4</v>
      </c>
      <c r="J51" s="960">
        <v>4</v>
      </c>
      <c r="K51" s="960"/>
      <c r="L51" s="1009">
        <v>32.2</v>
      </c>
      <c r="M51" s="1009">
        <v>32.7</v>
      </c>
      <c r="N51" s="1009">
        <v>32.7</v>
      </c>
      <c r="O51" s="1009">
        <v>33</v>
      </c>
      <c r="P51" s="1022">
        <v>33</v>
      </c>
      <c r="Q51" s="439"/>
      <c r="R51" s="426"/>
    </row>
    <row r="52" spans="1:18" ht="12.75">
      <c r="A52" s="46" t="s">
        <v>500</v>
      </c>
      <c r="B52" s="5" t="s">
        <v>87</v>
      </c>
      <c r="C52" s="959"/>
      <c r="D52" s="960"/>
      <c r="E52" s="960"/>
      <c r="F52" s="960"/>
      <c r="G52" s="960"/>
      <c r="H52" s="960"/>
      <c r="I52" s="960"/>
      <c r="J52" s="960"/>
      <c r="K52" s="960"/>
      <c r="L52" s="1009">
        <v>24</v>
      </c>
      <c r="M52" s="1009">
        <v>24</v>
      </c>
      <c r="N52" s="1009">
        <v>24</v>
      </c>
      <c r="O52" s="1009">
        <v>24</v>
      </c>
      <c r="P52" s="1022">
        <v>24</v>
      </c>
      <c r="Q52" s="439"/>
      <c r="R52" s="426"/>
    </row>
    <row r="53" spans="1:18" ht="12.75">
      <c r="A53" s="46" t="s">
        <v>64</v>
      </c>
      <c r="B53" s="5" t="s">
        <v>87</v>
      </c>
      <c r="C53" s="959"/>
      <c r="D53" s="960"/>
      <c r="E53" s="960"/>
      <c r="F53" s="960"/>
      <c r="G53" s="960"/>
      <c r="H53" s="960"/>
      <c r="I53" s="960"/>
      <c r="J53" s="960"/>
      <c r="K53" s="960"/>
      <c r="L53" s="1009">
        <v>13</v>
      </c>
      <c r="M53" s="1009">
        <v>12.5</v>
      </c>
      <c r="N53" s="1009">
        <v>12.5</v>
      </c>
      <c r="O53" s="1009">
        <v>12.5</v>
      </c>
      <c r="P53" s="1022">
        <v>12.5</v>
      </c>
      <c r="Q53" s="439"/>
      <c r="R53" s="426"/>
    </row>
    <row r="54" spans="1:18" ht="22.5">
      <c r="A54" s="46" t="s">
        <v>501</v>
      </c>
      <c r="B54" s="5" t="s">
        <v>87</v>
      </c>
      <c r="C54" s="959"/>
      <c r="D54" s="960"/>
      <c r="E54" s="960"/>
      <c r="F54" s="960"/>
      <c r="G54" s="960"/>
      <c r="H54" s="960"/>
      <c r="I54" s="960"/>
      <c r="J54" s="960"/>
      <c r="K54" s="960"/>
      <c r="L54" s="1009">
        <v>8.7</v>
      </c>
      <c r="M54" s="1009">
        <v>8.7</v>
      </c>
      <c r="N54" s="1009">
        <v>8.7</v>
      </c>
      <c r="O54" s="1009">
        <v>8.7</v>
      </c>
      <c r="P54" s="1022">
        <v>8.7</v>
      </c>
      <c r="Q54" s="439"/>
      <c r="R54" s="426"/>
    </row>
    <row r="55" spans="1:18" ht="12.75">
      <c r="A55" s="46" t="s">
        <v>502</v>
      </c>
      <c r="B55" s="5" t="s">
        <v>87</v>
      </c>
      <c r="C55" s="959">
        <v>12</v>
      </c>
      <c r="D55" s="960">
        <v>13</v>
      </c>
      <c r="E55" s="960">
        <v>17</v>
      </c>
      <c r="F55" s="960">
        <v>22</v>
      </c>
      <c r="G55" s="960">
        <v>29</v>
      </c>
      <c r="H55" s="960">
        <v>29</v>
      </c>
      <c r="I55" s="960">
        <v>30</v>
      </c>
      <c r="J55" s="960">
        <v>30</v>
      </c>
      <c r="K55" s="960">
        <v>31</v>
      </c>
      <c r="L55" s="1009">
        <v>6.7</v>
      </c>
      <c r="M55" s="1009">
        <v>6.7</v>
      </c>
      <c r="N55" s="1009">
        <v>6.7</v>
      </c>
      <c r="O55" s="1009">
        <v>6.7</v>
      </c>
      <c r="P55" s="1022">
        <v>6.7</v>
      </c>
      <c r="Q55" s="439"/>
      <c r="R55" s="426"/>
    </row>
    <row r="56" spans="1:18" ht="12.75">
      <c r="A56" s="46" t="s">
        <v>503</v>
      </c>
      <c r="B56" s="5" t="s">
        <v>87</v>
      </c>
      <c r="C56" s="961">
        <v>0</v>
      </c>
      <c r="D56" s="961">
        <v>0</v>
      </c>
      <c r="E56" s="961">
        <v>3</v>
      </c>
      <c r="F56" s="961">
        <v>2</v>
      </c>
      <c r="G56" s="961">
        <v>2</v>
      </c>
      <c r="H56" s="961">
        <v>2</v>
      </c>
      <c r="I56" s="961">
        <v>5</v>
      </c>
      <c r="J56" s="961">
        <v>8</v>
      </c>
      <c r="K56" s="961">
        <v>9</v>
      </c>
      <c r="L56" s="1010">
        <v>4.8</v>
      </c>
      <c r="M56" s="1016">
        <v>4.8</v>
      </c>
      <c r="N56" s="1016">
        <v>4.8</v>
      </c>
      <c r="O56" s="1016">
        <v>4.8</v>
      </c>
      <c r="P56" s="1023">
        <v>4.8</v>
      </c>
      <c r="Q56" s="443"/>
      <c r="R56" s="426"/>
    </row>
    <row r="57" spans="1:18" ht="12.75">
      <c r="A57" s="1028" t="s">
        <v>504</v>
      </c>
      <c r="B57" s="1029" t="s">
        <v>87</v>
      </c>
      <c r="C57" s="1030">
        <v>1</v>
      </c>
      <c r="D57" s="1031">
        <v>1</v>
      </c>
      <c r="E57" s="1031">
        <v>1</v>
      </c>
      <c r="F57" s="1031"/>
      <c r="G57" s="1031"/>
      <c r="H57" s="1031">
        <v>0</v>
      </c>
      <c r="I57" s="1031"/>
      <c r="J57" s="1031"/>
      <c r="K57" s="1031"/>
      <c r="L57" s="1032">
        <v>10.6</v>
      </c>
      <c r="M57" s="1032">
        <v>10.6</v>
      </c>
      <c r="N57" s="1032">
        <v>10.6</v>
      </c>
      <c r="O57" s="1032">
        <v>10.3</v>
      </c>
      <c r="P57" s="1033">
        <v>10.3</v>
      </c>
      <c r="Q57" s="439"/>
      <c r="R57" s="426"/>
    </row>
    <row r="58" spans="1:256" s="176" customFormat="1" ht="12.75">
      <c r="A58" s="1024"/>
      <c r="B58" s="957"/>
      <c r="C58" s="957"/>
      <c r="D58" s="957"/>
      <c r="E58" s="957"/>
      <c r="F58" s="957"/>
      <c r="G58" s="957"/>
      <c r="H58" s="957"/>
      <c r="I58" s="957"/>
      <c r="J58" s="957"/>
      <c r="K58" s="957"/>
      <c r="L58" s="1011"/>
      <c r="M58" s="1011"/>
      <c r="N58" s="1011"/>
      <c r="O58" s="1011"/>
      <c r="P58" s="1025"/>
      <c r="Q58" s="1040"/>
      <c r="R58" s="1040"/>
      <c r="S58" s="1040"/>
      <c r="T58" s="1040"/>
      <c r="U58" s="1040"/>
      <c r="V58" s="1040"/>
      <c r="W58" s="1040"/>
      <c r="X58" s="1040"/>
      <c r="Y58" s="1040"/>
      <c r="Z58" s="1040"/>
      <c r="AA58" s="1040"/>
      <c r="AB58" s="1040"/>
      <c r="AC58" s="1040"/>
      <c r="AD58" s="1040"/>
      <c r="AE58" s="1040"/>
      <c r="AF58" s="1040"/>
      <c r="AG58" s="1040"/>
      <c r="AH58" s="1040"/>
      <c r="AI58" s="1040"/>
      <c r="AJ58" s="1040"/>
      <c r="AK58" s="1040"/>
      <c r="AL58" s="1040"/>
      <c r="AM58" s="1040"/>
      <c r="AN58" s="1040"/>
      <c r="AO58" s="1040"/>
      <c r="AP58" s="1040"/>
      <c r="AQ58" s="1040"/>
      <c r="AR58" s="1040"/>
      <c r="AS58" s="1040"/>
      <c r="AT58" s="1040"/>
      <c r="AU58" s="1040"/>
      <c r="AV58" s="1040"/>
      <c r="AW58" s="1040"/>
      <c r="AX58" s="1040"/>
      <c r="AY58" s="1040"/>
      <c r="AZ58" s="1040"/>
      <c r="BA58" s="1040"/>
      <c r="BB58" s="1040"/>
      <c r="BC58" s="1040"/>
      <c r="BD58" s="1040"/>
      <c r="BE58" s="1040"/>
      <c r="BF58" s="1040"/>
      <c r="BG58" s="1040"/>
      <c r="BH58" s="1040"/>
      <c r="BI58" s="1040"/>
      <c r="BJ58" s="1040"/>
      <c r="BK58" s="1040"/>
      <c r="BL58" s="1040"/>
      <c r="BM58" s="1040"/>
      <c r="BN58" s="1040"/>
      <c r="BO58" s="1040"/>
      <c r="BP58" s="1040"/>
      <c r="BQ58" s="1040"/>
      <c r="BR58" s="1040"/>
      <c r="BS58" s="1040"/>
      <c r="BT58" s="1040"/>
      <c r="BU58" s="1040"/>
      <c r="BV58" s="1040"/>
      <c r="BW58" s="1040"/>
      <c r="BX58" s="1040"/>
      <c r="BY58" s="1040"/>
      <c r="BZ58" s="1040"/>
      <c r="CA58" s="1040"/>
      <c r="CB58" s="1040"/>
      <c r="CC58" s="1040"/>
      <c r="CD58" s="1040"/>
      <c r="CE58" s="1040"/>
      <c r="CF58" s="1040"/>
      <c r="CG58" s="1040"/>
      <c r="CH58" s="1040"/>
      <c r="CI58" s="1040"/>
      <c r="CJ58" s="1040"/>
      <c r="CK58" s="1040"/>
      <c r="CL58" s="1040"/>
      <c r="CM58" s="1040"/>
      <c r="CN58" s="1040"/>
      <c r="CO58" s="1040"/>
      <c r="CP58" s="1040"/>
      <c r="CQ58" s="1040"/>
      <c r="CR58" s="1040"/>
      <c r="CS58" s="1040"/>
      <c r="CT58" s="1040"/>
      <c r="CU58" s="1040"/>
      <c r="CV58" s="1040"/>
      <c r="CW58" s="1040"/>
      <c r="CX58" s="1040"/>
      <c r="CY58" s="1040"/>
      <c r="CZ58" s="1040"/>
      <c r="DA58" s="1040"/>
      <c r="DB58" s="1040"/>
      <c r="DC58" s="1040"/>
      <c r="DD58" s="1040"/>
      <c r="DE58" s="1040"/>
      <c r="DF58" s="1040"/>
      <c r="DG58" s="1040"/>
      <c r="DH58" s="1040"/>
      <c r="DI58" s="1040"/>
      <c r="DJ58" s="1040"/>
      <c r="DK58" s="1040"/>
      <c r="DL58" s="1040"/>
      <c r="DM58" s="1040"/>
      <c r="DN58" s="1040"/>
      <c r="DO58" s="1040"/>
      <c r="DP58" s="1040"/>
      <c r="DQ58" s="1040"/>
      <c r="DR58" s="1040"/>
      <c r="DS58" s="1040"/>
      <c r="DT58" s="1040"/>
      <c r="DU58" s="1040"/>
      <c r="DV58" s="1040"/>
      <c r="DW58" s="1040"/>
      <c r="DX58" s="1040"/>
      <c r="DY58" s="1040"/>
      <c r="DZ58" s="1040"/>
      <c r="EA58" s="1040"/>
      <c r="EB58" s="1040"/>
      <c r="EC58" s="1040"/>
      <c r="ED58" s="1040"/>
      <c r="EE58" s="1040"/>
      <c r="EF58" s="1040"/>
      <c r="EG58" s="1040"/>
      <c r="EH58" s="1040"/>
      <c r="EI58" s="1040"/>
      <c r="EJ58" s="1040"/>
      <c r="EK58" s="1040"/>
      <c r="EL58" s="1040"/>
      <c r="EM58" s="1040"/>
      <c r="EN58" s="1040"/>
      <c r="EO58" s="1040"/>
      <c r="EP58" s="1040"/>
      <c r="EQ58" s="1040"/>
      <c r="ER58" s="1040"/>
      <c r="ES58" s="1040"/>
      <c r="ET58" s="1040"/>
      <c r="EU58" s="1040"/>
      <c r="EV58" s="1040"/>
      <c r="EW58" s="1040"/>
      <c r="EX58" s="1040"/>
      <c r="EY58" s="1040"/>
      <c r="EZ58" s="1040"/>
      <c r="FA58" s="1040"/>
      <c r="FB58" s="1040"/>
      <c r="FC58" s="1040"/>
      <c r="FD58" s="1040"/>
      <c r="FE58" s="1040"/>
      <c r="FF58" s="1040"/>
      <c r="FG58" s="1040"/>
      <c r="FH58" s="1040"/>
      <c r="FI58" s="1040"/>
      <c r="FJ58" s="1040"/>
      <c r="FK58" s="1040"/>
      <c r="FL58" s="1040"/>
      <c r="FM58" s="1040"/>
      <c r="FN58" s="1040"/>
      <c r="FO58" s="1040"/>
      <c r="FP58" s="1040"/>
      <c r="FQ58" s="1040"/>
      <c r="FR58" s="1040"/>
      <c r="FS58" s="1040"/>
      <c r="FT58" s="1040"/>
      <c r="FU58" s="1040"/>
      <c r="FV58" s="1040"/>
      <c r="FW58" s="1040"/>
      <c r="FX58" s="1040"/>
      <c r="FY58" s="1040"/>
      <c r="FZ58" s="1040"/>
      <c r="GA58" s="1040"/>
      <c r="GB58" s="1040"/>
      <c r="GC58" s="1040"/>
      <c r="GD58" s="1040"/>
      <c r="GE58" s="1040"/>
      <c r="GF58" s="1040"/>
      <c r="GG58" s="1040"/>
      <c r="GH58" s="1040"/>
      <c r="GI58" s="1040"/>
      <c r="GJ58" s="1040"/>
      <c r="GK58" s="1040"/>
      <c r="GL58" s="1040"/>
      <c r="GM58" s="1040"/>
      <c r="GN58" s="1040"/>
      <c r="GO58" s="1040"/>
      <c r="GP58" s="1040"/>
      <c r="GQ58" s="1040"/>
      <c r="GR58" s="1040"/>
      <c r="GS58" s="1040"/>
      <c r="GT58" s="1040"/>
      <c r="GU58" s="1040"/>
      <c r="GV58" s="1040"/>
      <c r="GW58" s="1040"/>
      <c r="GX58" s="1040"/>
      <c r="GY58" s="1040"/>
      <c r="GZ58" s="1040"/>
      <c r="HA58" s="1040"/>
      <c r="HB58" s="1040"/>
      <c r="HC58" s="1040"/>
      <c r="HD58" s="1040"/>
      <c r="HE58" s="1040"/>
      <c r="HF58" s="1040"/>
      <c r="HG58" s="1040"/>
      <c r="HH58" s="1040"/>
      <c r="HI58" s="1040"/>
      <c r="HJ58" s="1040"/>
      <c r="HK58" s="1040"/>
      <c r="HL58" s="1040"/>
      <c r="HM58" s="1040"/>
      <c r="HN58" s="1040"/>
      <c r="HO58" s="1040"/>
      <c r="HP58" s="1040"/>
      <c r="HQ58" s="1040"/>
      <c r="HR58" s="1040"/>
      <c r="HS58" s="1040"/>
      <c r="HT58" s="1040"/>
      <c r="HU58" s="1040"/>
      <c r="HV58" s="1040"/>
      <c r="HW58" s="1040"/>
      <c r="HX58" s="1040"/>
      <c r="HY58" s="1040"/>
      <c r="HZ58" s="1040"/>
      <c r="IA58" s="1040"/>
      <c r="IB58" s="1040"/>
      <c r="IC58" s="1040"/>
      <c r="ID58" s="1040"/>
      <c r="IE58" s="1040"/>
      <c r="IF58" s="1040"/>
      <c r="IG58" s="1040"/>
      <c r="IH58" s="1040"/>
      <c r="II58" s="1040"/>
      <c r="IJ58" s="1040"/>
      <c r="IK58" s="1040"/>
      <c r="IL58" s="1040"/>
      <c r="IM58" s="1040"/>
      <c r="IN58" s="1040"/>
      <c r="IO58" s="1040"/>
      <c r="IP58" s="1040"/>
      <c r="IQ58" s="1040"/>
      <c r="IR58" s="1040"/>
      <c r="IS58" s="1040"/>
      <c r="IT58" s="1040"/>
      <c r="IU58" s="1040"/>
      <c r="IV58" s="1040"/>
    </row>
    <row r="59" spans="1:18" ht="12.75">
      <c r="A59" s="1034" t="s">
        <v>51</v>
      </c>
      <c r="B59" s="1035" t="s">
        <v>52</v>
      </c>
      <c r="C59" s="1036">
        <f>SUM(C61:C64)</f>
        <v>204</v>
      </c>
      <c r="D59" s="1037">
        <f aca="true" t="shared" si="13" ref="D59:P59">D61+D62+D63+D64</f>
        <v>203</v>
      </c>
      <c r="E59" s="1037">
        <f t="shared" si="13"/>
        <v>231</v>
      </c>
      <c r="F59" s="1037">
        <f>F61+F62+F63+F64</f>
        <v>244</v>
      </c>
      <c r="G59" s="1037">
        <f t="shared" si="13"/>
        <v>250</v>
      </c>
      <c r="H59" s="1037">
        <f t="shared" si="13"/>
        <v>260</v>
      </c>
      <c r="I59" s="1037">
        <f>I61+I62+I63+I64</f>
        <v>267</v>
      </c>
      <c r="J59" s="1038">
        <f t="shared" si="13"/>
        <v>261</v>
      </c>
      <c r="K59" s="1038">
        <f t="shared" si="13"/>
        <v>256</v>
      </c>
      <c r="L59" s="1038">
        <f>L61+L62+L63+L64</f>
        <v>258</v>
      </c>
      <c r="M59" s="1038"/>
      <c r="N59" s="1038">
        <f t="shared" si="13"/>
        <v>265</v>
      </c>
      <c r="O59" s="1038">
        <f t="shared" si="13"/>
        <v>266</v>
      </c>
      <c r="P59" s="1039">
        <f t="shared" si="13"/>
        <v>266</v>
      </c>
      <c r="Q59" s="442"/>
      <c r="R59" s="426"/>
    </row>
    <row r="60" spans="1:18" ht="12.75">
      <c r="A60" s="1320" t="s">
        <v>32</v>
      </c>
      <c r="B60" s="1321"/>
      <c r="C60" s="1321"/>
      <c r="D60" s="1321"/>
      <c r="E60" s="1321"/>
      <c r="F60" s="1321"/>
      <c r="G60" s="1321"/>
      <c r="H60" s="1321"/>
      <c r="I60" s="1321"/>
      <c r="J60" s="1321"/>
      <c r="K60" s="1321"/>
      <c r="L60" s="1321"/>
      <c r="M60" s="1321"/>
      <c r="N60" s="1321"/>
      <c r="O60" s="1321"/>
      <c r="P60" s="1322"/>
      <c r="Q60" s="425"/>
      <c r="R60" s="426"/>
    </row>
    <row r="61" spans="1:18" ht="12.75">
      <c r="A61" s="958" t="s">
        <v>47</v>
      </c>
      <c r="B61" s="927" t="s">
        <v>52</v>
      </c>
      <c r="C61" s="962">
        <v>57</v>
      </c>
      <c r="D61" s="963">
        <v>52</v>
      </c>
      <c r="E61" s="963">
        <f>7+11+16+15</f>
        <v>49</v>
      </c>
      <c r="F61" s="963">
        <f>14+21+7+7</f>
        <v>49</v>
      </c>
      <c r="G61" s="963">
        <f>21+2+6+6</f>
        <v>35</v>
      </c>
      <c r="H61" s="963">
        <v>28</v>
      </c>
      <c r="I61" s="963">
        <v>30</v>
      </c>
      <c r="J61" s="963">
        <v>20</v>
      </c>
      <c r="K61" s="963">
        <v>20</v>
      </c>
      <c r="L61" s="963">
        <v>18</v>
      </c>
      <c r="M61" s="963"/>
      <c r="N61" s="963">
        <v>19</v>
      </c>
      <c r="O61" s="963">
        <v>20</v>
      </c>
      <c r="P61" s="964">
        <v>20</v>
      </c>
      <c r="Q61" s="440"/>
      <c r="R61" s="426"/>
    </row>
    <row r="62" spans="1:18" ht="12.75">
      <c r="A62" s="958" t="s">
        <v>48</v>
      </c>
      <c r="B62" s="927" t="s">
        <v>52</v>
      </c>
      <c r="C62" s="962">
        <v>139</v>
      </c>
      <c r="D62" s="962">
        <v>143</v>
      </c>
      <c r="E62" s="962">
        <f>8+8+8+17+32+13+3+25+12*8/3+23</f>
        <v>169</v>
      </c>
      <c r="F62" s="962">
        <v>189</v>
      </c>
      <c r="G62" s="962">
        <v>200</v>
      </c>
      <c r="H62" s="962">
        <v>218</v>
      </c>
      <c r="I62" s="962">
        <v>221</v>
      </c>
      <c r="J62" s="962">
        <v>221</v>
      </c>
      <c r="K62" s="962">
        <v>219</v>
      </c>
      <c r="L62" s="962">
        <v>222</v>
      </c>
      <c r="M62" s="962"/>
      <c r="N62" s="962">
        <v>226</v>
      </c>
      <c r="O62" s="962">
        <v>226</v>
      </c>
      <c r="P62" s="965">
        <v>226</v>
      </c>
      <c r="Q62" s="427"/>
      <c r="R62" s="426"/>
    </row>
    <row r="63" spans="1:18" ht="12.75">
      <c r="A63" s="958" t="s">
        <v>49</v>
      </c>
      <c r="B63" s="927" t="s">
        <v>52</v>
      </c>
      <c r="C63" s="952" t="s">
        <v>43</v>
      </c>
      <c r="D63" s="952">
        <v>0</v>
      </c>
      <c r="E63" s="952">
        <v>1</v>
      </c>
      <c r="F63" s="952">
        <v>6</v>
      </c>
      <c r="G63" s="952">
        <f>10+5</f>
        <v>15</v>
      </c>
      <c r="H63" s="952">
        <v>14</v>
      </c>
      <c r="I63" s="952">
        <v>16</v>
      </c>
      <c r="J63" s="952">
        <v>20</v>
      </c>
      <c r="K63" s="952">
        <v>17</v>
      </c>
      <c r="L63" s="952">
        <v>18</v>
      </c>
      <c r="M63" s="952"/>
      <c r="N63" s="952">
        <v>20</v>
      </c>
      <c r="O63" s="952">
        <v>20</v>
      </c>
      <c r="P63" s="966">
        <v>20</v>
      </c>
      <c r="Q63" s="427"/>
      <c r="R63" s="426"/>
    </row>
    <row r="64" spans="1:18" ht="12.75">
      <c r="A64" s="958" t="s">
        <v>50</v>
      </c>
      <c r="B64" s="927" t="s">
        <v>52</v>
      </c>
      <c r="C64" s="962">
        <v>8</v>
      </c>
      <c r="D64" s="962">
        <v>8</v>
      </c>
      <c r="E64" s="962">
        <f>6+6</f>
        <v>12</v>
      </c>
      <c r="F64" s="962"/>
      <c r="G64" s="962"/>
      <c r="H64" s="962"/>
      <c r="I64" s="962"/>
      <c r="J64" s="962">
        <v>0</v>
      </c>
      <c r="K64" s="962">
        <v>0</v>
      </c>
      <c r="L64" s="962">
        <v>0</v>
      </c>
      <c r="M64" s="962"/>
      <c r="N64" s="962">
        <v>0</v>
      </c>
      <c r="O64" s="962">
        <v>0</v>
      </c>
      <c r="P64" s="965">
        <v>0</v>
      </c>
      <c r="Q64" s="427"/>
      <c r="R64" s="426"/>
    </row>
    <row r="65" spans="1:18" ht="12.75">
      <c r="A65" s="1320" t="s">
        <v>53</v>
      </c>
      <c r="B65" s="1323"/>
      <c r="C65" s="1324"/>
      <c r="D65" s="1324"/>
      <c r="E65" s="1324"/>
      <c r="F65" s="1324"/>
      <c r="G65" s="1324"/>
      <c r="H65" s="1324"/>
      <c r="I65" s="1324"/>
      <c r="J65" s="1324"/>
      <c r="K65" s="1324"/>
      <c r="L65" s="1324"/>
      <c r="M65" s="1324"/>
      <c r="N65" s="1324"/>
      <c r="O65" s="1324"/>
      <c r="P65" s="1322"/>
      <c r="Q65" s="425"/>
      <c r="R65" s="426"/>
    </row>
    <row r="66" spans="1:18" ht="12.75">
      <c r="A66" s="931" t="s">
        <v>18</v>
      </c>
      <c r="B66" s="927" t="s">
        <v>23</v>
      </c>
      <c r="C66" s="941">
        <f aca="true" t="shared" si="14" ref="C66:P66">SUM(C68+C69)</f>
        <v>58.72</v>
      </c>
      <c r="D66" s="941">
        <f t="shared" si="14"/>
        <v>77.98</v>
      </c>
      <c r="E66" s="941">
        <f t="shared" si="14"/>
        <v>88.52100000000002</v>
      </c>
      <c r="F66" s="941">
        <f>SUM(F68+F69)</f>
        <v>77.863</v>
      </c>
      <c r="G66" s="941">
        <f t="shared" si="14"/>
        <v>57.39999999999999</v>
      </c>
      <c r="H66" s="941">
        <f t="shared" si="14"/>
        <v>47.730000000000004</v>
      </c>
      <c r="I66" s="941">
        <f t="shared" si="14"/>
        <v>54.19</v>
      </c>
      <c r="J66" s="941">
        <f t="shared" si="14"/>
        <v>40.88</v>
      </c>
      <c r="K66" s="941">
        <f t="shared" si="14"/>
        <v>50.5</v>
      </c>
      <c r="L66" s="941">
        <f t="shared" si="14"/>
        <v>54.1</v>
      </c>
      <c r="M66" s="941"/>
      <c r="N66" s="941">
        <f t="shared" si="14"/>
        <v>62.7</v>
      </c>
      <c r="O66" s="941">
        <f t="shared" si="14"/>
        <v>65.7</v>
      </c>
      <c r="P66" s="942">
        <f t="shared" si="14"/>
        <v>68.9</v>
      </c>
      <c r="Q66" s="434"/>
      <c r="R66" s="426"/>
    </row>
    <row r="67" spans="1:18" ht="12.75">
      <c r="A67" s="1320" t="s">
        <v>32</v>
      </c>
      <c r="B67" s="1321"/>
      <c r="C67" s="1321"/>
      <c r="D67" s="1321"/>
      <c r="E67" s="1321"/>
      <c r="F67" s="1321"/>
      <c r="G67" s="1321"/>
      <c r="H67" s="1321"/>
      <c r="I67" s="1321"/>
      <c r="J67" s="1321"/>
      <c r="K67" s="1321"/>
      <c r="L67" s="1321"/>
      <c r="M67" s="1321"/>
      <c r="N67" s="1321"/>
      <c r="O67" s="1321"/>
      <c r="P67" s="1322"/>
      <c r="Q67" s="425"/>
      <c r="R67" s="426"/>
    </row>
    <row r="68" spans="1:18" ht="12.75">
      <c r="A68" s="931" t="s">
        <v>54</v>
      </c>
      <c r="B68" s="927" t="s">
        <v>23</v>
      </c>
      <c r="C68" s="935">
        <v>50.7</v>
      </c>
      <c r="D68" s="935">
        <v>67.97</v>
      </c>
      <c r="E68" s="935">
        <f>9+8.621+44+7</f>
        <v>68.62100000000001</v>
      </c>
      <c r="F68" s="935">
        <f>6.73+26.9+14+7</f>
        <v>54.629999999999995</v>
      </c>
      <c r="G68" s="935">
        <f>36.8</f>
        <v>36.8</v>
      </c>
      <c r="H68" s="935">
        <v>28.3</v>
      </c>
      <c r="I68" s="935">
        <v>34.13</v>
      </c>
      <c r="J68" s="935">
        <v>20.44</v>
      </c>
      <c r="K68" s="935">
        <v>23</v>
      </c>
      <c r="L68" s="935">
        <v>27</v>
      </c>
      <c r="M68" s="935"/>
      <c r="N68" s="935">
        <v>30</v>
      </c>
      <c r="O68" s="935">
        <v>30</v>
      </c>
      <c r="P68" s="936">
        <v>30</v>
      </c>
      <c r="Q68" s="444"/>
      <c r="R68" s="426"/>
    </row>
    <row r="69" spans="1:18" ht="12.75">
      <c r="A69" s="931" t="s">
        <v>55</v>
      </c>
      <c r="B69" s="927" t="s">
        <v>23</v>
      </c>
      <c r="C69" s="935">
        <v>8.02</v>
      </c>
      <c r="D69" s="935">
        <v>10.01</v>
      </c>
      <c r="E69" s="935">
        <f>6.1+10.5+3.3</f>
        <v>19.900000000000002</v>
      </c>
      <c r="F69" s="935">
        <f>8.8+2.77+0.263+9+2.4</f>
        <v>23.232999999999997</v>
      </c>
      <c r="G69" s="935">
        <f>G21</f>
        <v>20.599999999999998</v>
      </c>
      <c r="H69" s="935">
        <f>H21</f>
        <v>19.43</v>
      </c>
      <c r="I69" s="935">
        <f>I21</f>
        <v>20.06</v>
      </c>
      <c r="J69" s="935">
        <v>20.44</v>
      </c>
      <c r="K69" s="935">
        <f>K21</f>
        <v>27.5</v>
      </c>
      <c r="L69" s="935">
        <f>L21</f>
        <v>27.1</v>
      </c>
      <c r="M69" s="935"/>
      <c r="N69" s="935">
        <f>N21</f>
        <v>32.7</v>
      </c>
      <c r="O69" s="935">
        <f>O21</f>
        <v>35.7</v>
      </c>
      <c r="P69" s="936">
        <f>P21</f>
        <v>38.9</v>
      </c>
      <c r="Q69" s="444"/>
      <c r="R69" s="426"/>
    </row>
    <row r="70" spans="1:18" ht="12.75">
      <c r="A70" s="1320" t="s">
        <v>56</v>
      </c>
      <c r="B70" s="1325"/>
      <c r="C70" s="1321"/>
      <c r="D70" s="1321"/>
      <c r="E70" s="1321"/>
      <c r="F70" s="1321"/>
      <c r="G70" s="1321"/>
      <c r="H70" s="1321"/>
      <c r="I70" s="1321"/>
      <c r="J70" s="1321"/>
      <c r="K70" s="1321"/>
      <c r="L70" s="1321"/>
      <c r="M70" s="1321"/>
      <c r="N70" s="1321"/>
      <c r="O70" s="1321"/>
      <c r="P70" s="1322"/>
      <c r="Q70" s="425"/>
      <c r="R70" s="426"/>
    </row>
    <row r="71" spans="1:19" ht="12.75">
      <c r="A71" s="931" t="s">
        <v>18</v>
      </c>
      <c r="B71" s="927" t="s">
        <v>23</v>
      </c>
      <c r="C71" s="952">
        <v>162.32</v>
      </c>
      <c r="D71" s="940">
        <v>335.3</v>
      </c>
      <c r="E71" s="940">
        <f>25.8*2+31+147.047+40.6+9.8+121+25.8*12/3</f>
        <v>504.247</v>
      </c>
      <c r="F71" s="940">
        <v>568.36</v>
      </c>
      <c r="G71" s="940">
        <v>589.1</v>
      </c>
      <c r="H71" s="940">
        <v>612.07</v>
      </c>
      <c r="I71" s="940">
        <v>630</v>
      </c>
      <c r="J71" s="953">
        <v>714</v>
      </c>
      <c r="K71" s="953">
        <v>730</v>
      </c>
      <c r="L71" s="953">
        <v>746</v>
      </c>
      <c r="M71" s="953"/>
      <c r="N71" s="953">
        <f>L71*101.3%</f>
        <v>755.698</v>
      </c>
      <c r="O71" s="953">
        <f>N71*102.1%</f>
        <v>771.5676579999999</v>
      </c>
      <c r="P71" s="954">
        <f>O71*102.1%</f>
        <v>787.7705788179999</v>
      </c>
      <c r="Q71" s="436"/>
      <c r="R71" s="426"/>
      <c r="S71" s="600"/>
    </row>
    <row r="72" spans="1:18" ht="12.75">
      <c r="A72" s="1320" t="s">
        <v>57</v>
      </c>
      <c r="B72" s="1325"/>
      <c r="C72" s="1321"/>
      <c r="D72" s="1321"/>
      <c r="E72" s="1321"/>
      <c r="F72" s="1321"/>
      <c r="G72" s="1321"/>
      <c r="H72" s="1321"/>
      <c r="I72" s="1321"/>
      <c r="J72" s="1321"/>
      <c r="K72" s="1321"/>
      <c r="L72" s="1321"/>
      <c r="M72" s="1321"/>
      <c r="N72" s="1321"/>
      <c r="O72" s="1321"/>
      <c r="P72" s="1322"/>
      <c r="Q72" s="425"/>
      <c r="R72" s="426"/>
    </row>
    <row r="73" spans="1:18" ht="12.75">
      <c r="A73" s="931" t="s">
        <v>18</v>
      </c>
      <c r="B73" s="927" t="s">
        <v>23</v>
      </c>
      <c r="C73" s="940">
        <v>0.152</v>
      </c>
      <c r="D73" s="940">
        <v>3.85</v>
      </c>
      <c r="E73" s="952">
        <v>3.69</v>
      </c>
      <c r="F73" s="952">
        <v>9.9</v>
      </c>
      <c r="G73" s="952">
        <v>29.75</v>
      </c>
      <c r="H73" s="952">
        <v>35.2</v>
      </c>
      <c r="I73" s="952">
        <v>17.6</v>
      </c>
      <c r="J73" s="952">
        <v>23.9</v>
      </c>
      <c r="K73" s="952">
        <v>21.6</v>
      </c>
      <c r="L73" s="952">
        <v>23</v>
      </c>
      <c r="M73" s="952"/>
      <c r="N73" s="953">
        <f>L73*103.6%</f>
        <v>23.828</v>
      </c>
      <c r="O73" s="953">
        <f>N73*103.8%</f>
        <v>24.733464</v>
      </c>
      <c r="P73" s="954">
        <f>O73*104%</f>
        <v>25.72280256</v>
      </c>
      <c r="Q73" s="427"/>
      <c r="R73" s="426"/>
    </row>
    <row r="74" spans="1:18" ht="15.75" customHeight="1">
      <c r="A74" s="1273" t="s">
        <v>58</v>
      </c>
      <c r="B74" s="1309"/>
      <c r="C74" s="1309"/>
      <c r="D74" s="1309"/>
      <c r="E74" s="1309"/>
      <c r="F74" s="1309"/>
      <c r="G74" s="1309"/>
      <c r="H74" s="1309"/>
      <c r="I74" s="1309"/>
      <c r="J74" s="1309"/>
      <c r="K74" s="1309"/>
      <c r="L74" s="1309"/>
      <c r="M74" s="1309"/>
      <c r="N74" s="1309"/>
      <c r="O74" s="1309"/>
      <c r="P74" s="1310"/>
      <c r="Q74" s="425"/>
      <c r="R74" s="426"/>
    </row>
    <row r="75" spans="1:19" ht="27" customHeight="1">
      <c r="A75" s="4" t="s">
        <v>389</v>
      </c>
      <c r="B75" s="5" t="s">
        <v>23</v>
      </c>
      <c r="C75" s="705"/>
      <c r="D75" s="705"/>
      <c r="E75" s="705"/>
      <c r="F75" s="705"/>
      <c r="G75" s="705"/>
      <c r="H75" s="705"/>
      <c r="I75" s="705"/>
      <c r="J75" s="705"/>
      <c r="K75" s="713">
        <v>0</v>
      </c>
      <c r="L75" s="1004">
        <f>6.3+2</f>
        <v>8.3</v>
      </c>
      <c r="M75" s="1004">
        <v>124.1</v>
      </c>
      <c r="N75" s="713">
        <v>7.4</v>
      </c>
      <c r="O75" s="713">
        <v>1.8</v>
      </c>
      <c r="P75" s="1005">
        <v>2.8</v>
      </c>
      <c r="Q75" s="1006"/>
      <c r="R75" s="1007"/>
      <c r="S75" s="82"/>
    </row>
    <row r="76" spans="1:18" ht="13.5" customHeight="1">
      <c r="A76" s="1313" t="s">
        <v>59</v>
      </c>
      <c r="B76" s="1309"/>
      <c r="C76" s="1309"/>
      <c r="D76" s="1309"/>
      <c r="E76" s="1309"/>
      <c r="F76" s="1309"/>
      <c r="G76" s="1309"/>
      <c r="H76" s="1309"/>
      <c r="I76" s="1309"/>
      <c r="J76" s="1309"/>
      <c r="K76" s="1309"/>
      <c r="L76" s="1309"/>
      <c r="M76" s="1309"/>
      <c r="N76" s="1309"/>
      <c r="O76" s="1309"/>
      <c r="P76" s="1310"/>
      <c r="Q76" s="425"/>
      <c r="R76" s="426"/>
    </row>
    <row r="77" spans="1:18" ht="12.75">
      <c r="A77" s="11" t="s">
        <v>60</v>
      </c>
      <c r="B77" s="5" t="s">
        <v>23</v>
      </c>
      <c r="C77" s="50">
        <v>62.37</v>
      </c>
      <c r="D77" s="50">
        <v>72.38</v>
      </c>
      <c r="E77" s="43">
        <v>86.5</v>
      </c>
      <c r="F77" s="43">
        <v>41.2</v>
      </c>
      <c r="G77" s="43">
        <v>71.9</v>
      </c>
      <c r="H77" s="43">
        <v>81.4</v>
      </c>
      <c r="I77" s="43">
        <f>54.3</f>
        <v>54.3</v>
      </c>
      <c r="J77" s="43">
        <v>65.2</v>
      </c>
      <c r="K77" s="43">
        <v>97.8</v>
      </c>
      <c r="L77" s="43">
        <v>88.34</v>
      </c>
      <c r="M77" s="43">
        <v>94.4</v>
      </c>
      <c r="N77" s="43">
        <v>94.4</v>
      </c>
      <c r="O77" s="24">
        <v>94.4</v>
      </c>
      <c r="P77" s="967">
        <v>94.4</v>
      </c>
      <c r="Q77" s="445"/>
      <c r="R77" s="426"/>
    </row>
    <row r="78" spans="1:21" ht="24" customHeight="1">
      <c r="A78" s="4" t="s">
        <v>61</v>
      </c>
      <c r="B78" s="5" t="s">
        <v>23</v>
      </c>
      <c r="C78" s="43">
        <v>40.96</v>
      </c>
      <c r="D78" s="43">
        <v>0</v>
      </c>
      <c r="E78" s="43">
        <v>0.5</v>
      </c>
      <c r="F78" s="43">
        <v>157.7</v>
      </c>
      <c r="G78" s="43">
        <v>127</v>
      </c>
      <c r="H78" s="296">
        <v>72.98</v>
      </c>
      <c r="I78" s="296">
        <v>42.9</v>
      </c>
      <c r="J78" s="296">
        <v>62.7</v>
      </c>
      <c r="K78" s="296">
        <v>92.91</v>
      </c>
      <c r="L78" s="296">
        <v>83.92</v>
      </c>
      <c r="M78" s="296">
        <v>89.43</v>
      </c>
      <c r="N78" s="296">
        <v>89.43</v>
      </c>
      <c r="O78" s="296">
        <v>89.43</v>
      </c>
      <c r="P78" s="297">
        <v>89.43</v>
      </c>
      <c r="Q78" s="439"/>
      <c r="R78" s="426"/>
      <c r="U78" s="82"/>
    </row>
    <row r="79" spans="1:21" ht="12.75">
      <c r="A79" s="4" t="s">
        <v>481</v>
      </c>
      <c r="B79" s="5" t="s">
        <v>23</v>
      </c>
      <c r="C79" s="43"/>
      <c r="D79" s="43"/>
      <c r="E79" s="43"/>
      <c r="F79" s="43"/>
      <c r="G79" s="43"/>
      <c r="H79" s="296"/>
      <c r="I79" s="296"/>
      <c r="J79" s="296"/>
      <c r="K79" s="296"/>
      <c r="L79" s="296">
        <v>212.7</v>
      </c>
      <c r="M79" s="296">
        <v>335</v>
      </c>
      <c r="N79" s="296">
        <v>180</v>
      </c>
      <c r="O79" s="296">
        <v>200</v>
      </c>
      <c r="P79" s="297">
        <v>200</v>
      </c>
      <c r="Q79" s="439"/>
      <c r="R79" s="426"/>
      <c r="U79" s="82"/>
    </row>
    <row r="80" spans="1:21" ht="12.75">
      <c r="A80" s="4" t="s">
        <v>482</v>
      </c>
      <c r="B80" s="5" t="s">
        <v>23</v>
      </c>
      <c r="C80" s="43"/>
      <c r="D80" s="43"/>
      <c r="E80" s="43"/>
      <c r="F80" s="43"/>
      <c r="G80" s="43"/>
      <c r="H80" s="296"/>
      <c r="I80" s="296"/>
      <c r="J80" s="296"/>
      <c r="K80" s="296"/>
      <c r="L80" s="296">
        <v>60.8</v>
      </c>
      <c r="M80" s="296">
        <v>170.6</v>
      </c>
      <c r="N80" s="296">
        <v>6.9</v>
      </c>
      <c r="O80" s="296">
        <v>6.9</v>
      </c>
      <c r="P80" s="297">
        <v>6.9</v>
      </c>
      <c r="Q80" s="439"/>
      <c r="R80" s="426"/>
      <c r="U80" s="82"/>
    </row>
    <row r="81" spans="1:21" ht="15.75" customHeight="1">
      <c r="A81" s="1273" t="s">
        <v>62</v>
      </c>
      <c r="B81" s="1309"/>
      <c r="C81" s="1309"/>
      <c r="D81" s="1309"/>
      <c r="E81" s="1309"/>
      <c r="F81" s="1309"/>
      <c r="G81" s="1309"/>
      <c r="H81" s="1309"/>
      <c r="I81" s="1309"/>
      <c r="J81" s="1309"/>
      <c r="K81" s="1309"/>
      <c r="L81" s="1309"/>
      <c r="M81" s="1309"/>
      <c r="N81" s="1309"/>
      <c r="O81" s="1309"/>
      <c r="P81" s="179"/>
      <c r="Q81" s="427"/>
      <c r="R81" s="426"/>
      <c r="U81" s="82"/>
    </row>
    <row r="82" spans="1:20" ht="14.25" customHeight="1" hidden="1">
      <c r="A82" s="10" t="s">
        <v>63</v>
      </c>
      <c r="B82" s="5"/>
      <c r="C82" s="80">
        <f>C83+C99</f>
        <v>3610</v>
      </c>
      <c r="D82" s="80">
        <f>D83+D99+900</f>
        <v>4219</v>
      </c>
      <c r="E82" s="80">
        <f>E83+E99+900</f>
        <v>3645</v>
      </c>
      <c r="F82" s="80">
        <f>F83+F99+900</f>
        <v>3823</v>
      </c>
      <c r="G82" s="50">
        <f>G83+G99+900</f>
        <v>3830</v>
      </c>
      <c r="H82" s="50">
        <f>H83+H99+900</f>
        <v>3706</v>
      </c>
      <c r="I82" s="50">
        <f>I83+I99+700</f>
        <v>3281</v>
      </c>
      <c r="J82" s="50">
        <f>J83+J99+400</f>
        <v>2859</v>
      </c>
      <c r="K82" s="50">
        <f>K83+K99+300</f>
        <v>2942</v>
      </c>
      <c r="L82" s="50">
        <v>0</v>
      </c>
      <c r="M82" s="50"/>
      <c r="N82" s="50">
        <v>0</v>
      </c>
      <c r="O82" s="50">
        <v>0</v>
      </c>
      <c r="P82" s="294">
        <v>0</v>
      </c>
      <c r="Q82" s="427"/>
      <c r="R82" s="426"/>
      <c r="T82" s="606"/>
    </row>
    <row r="83" spans="1:19" ht="12.75">
      <c r="A83" s="10" t="s">
        <v>490</v>
      </c>
      <c r="B83" s="5" t="s">
        <v>52</v>
      </c>
      <c r="C83" s="43">
        <f aca="true" t="shared" si="15" ref="C83:K83">C84+C85+C86+C89+C90+C91+C92+C93+C94+C95+C96+C97+C98</f>
        <v>3467</v>
      </c>
      <c r="D83" s="43">
        <f t="shared" si="15"/>
        <v>3190</v>
      </c>
      <c r="E83" s="43">
        <f t="shared" si="15"/>
        <v>2654</v>
      </c>
      <c r="F83" s="43">
        <f t="shared" si="15"/>
        <v>2787</v>
      </c>
      <c r="G83" s="43">
        <f t="shared" si="15"/>
        <v>2828</v>
      </c>
      <c r="H83" s="43">
        <f t="shared" si="15"/>
        <v>2703</v>
      </c>
      <c r="I83" s="43">
        <f>I84+I85+I86+I89+I90+I91+I92+I93+I94+I95+I96+I97+I98</f>
        <v>2455</v>
      </c>
      <c r="J83" s="43">
        <f t="shared" si="15"/>
        <v>2328</v>
      </c>
      <c r="K83" s="916">
        <f t="shared" si="15"/>
        <v>2536</v>
      </c>
      <c r="L83" s="43">
        <v>2509</v>
      </c>
      <c r="M83" s="43">
        <v>2560</v>
      </c>
      <c r="N83" s="43">
        <v>2600</v>
      </c>
      <c r="O83" s="43">
        <v>2600</v>
      </c>
      <c r="P83" s="88">
        <v>2600</v>
      </c>
      <c r="Q83" s="439"/>
      <c r="R83" s="426"/>
      <c r="S83" s="82"/>
    </row>
    <row r="84" spans="1:18" ht="12.75">
      <c r="A84" s="51" t="s">
        <v>483</v>
      </c>
      <c r="B84" s="5" t="s">
        <v>52</v>
      </c>
      <c r="C84" s="43">
        <f>208+130</f>
        <v>338</v>
      </c>
      <c r="D84" s="43">
        <v>320</v>
      </c>
      <c r="E84" s="43">
        <f>127+117</f>
        <v>244</v>
      </c>
      <c r="F84" s="43">
        <f>138+118</f>
        <v>256</v>
      </c>
      <c r="G84" s="43">
        <f>161+126</f>
        <v>287</v>
      </c>
      <c r="H84" s="43">
        <v>290</v>
      </c>
      <c r="I84" s="43">
        <v>255</v>
      </c>
      <c r="J84" s="43">
        <v>244</v>
      </c>
      <c r="K84" s="916">
        <v>285</v>
      </c>
      <c r="L84" s="43">
        <v>268</v>
      </c>
      <c r="M84" s="43">
        <v>270</v>
      </c>
      <c r="N84" s="43">
        <v>280</v>
      </c>
      <c r="O84" s="43">
        <v>280</v>
      </c>
      <c r="P84" s="88">
        <v>280</v>
      </c>
      <c r="Q84" s="439"/>
      <c r="R84" s="426"/>
    </row>
    <row r="85" spans="1:18" ht="12.75">
      <c r="A85" s="51" t="s">
        <v>484</v>
      </c>
      <c r="B85" s="5" t="s">
        <v>52</v>
      </c>
      <c r="C85" s="43">
        <f>51+85</f>
        <v>136</v>
      </c>
      <c r="D85" s="43">
        <v>104</v>
      </c>
      <c r="E85" s="43">
        <v>70</v>
      </c>
      <c r="F85" s="43">
        <f>43+30</f>
        <v>73</v>
      </c>
      <c r="G85" s="43">
        <f>45+21</f>
        <v>66</v>
      </c>
      <c r="H85" s="43">
        <v>66</v>
      </c>
      <c r="I85" s="43">
        <v>77</v>
      </c>
      <c r="J85" s="43">
        <v>107</v>
      </c>
      <c r="K85" s="916">
        <v>143</v>
      </c>
      <c r="L85" s="43">
        <v>587</v>
      </c>
      <c r="M85" s="43">
        <v>600</v>
      </c>
      <c r="N85" s="43">
        <v>610</v>
      </c>
      <c r="O85" s="43">
        <v>610</v>
      </c>
      <c r="P85" s="88">
        <v>610</v>
      </c>
      <c r="Q85" s="439"/>
      <c r="R85" s="426"/>
    </row>
    <row r="86" spans="1:18" ht="12.75">
      <c r="A86" s="51" t="s">
        <v>485</v>
      </c>
      <c r="B86" s="5" t="s">
        <v>52</v>
      </c>
      <c r="C86" s="43">
        <f>SUM(C87+C88)</f>
        <v>17</v>
      </c>
      <c r="D86" s="43">
        <f>SUM(D87+D88)</f>
        <v>16</v>
      </c>
      <c r="E86" s="43">
        <f>SUM(E87+E88)</f>
        <v>11</v>
      </c>
      <c r="F86" s="43">
        <f>SUM(F87+F88)</f>
        <v>12</v>
      </c>
      <c r="G86" s="43">
        <f>SUM(G87+G88)</f>
        <v>13</v>
      </c>
      <c r="H86" s="43">
        <f>H87+H88</f>
        <v>12</v>
      </c>
      <c r="I86" s="43">
        <f>I87+I88</f>
        <v>10</v>
      </c>
      <c r="J86" s="43">
        <f>J87+J88</f>
        <v>9</v>
      </c>
      <c r="K86" s="916">
        <f>K87+K88</f>
        <v>9</v>
      </c>
      <c r="L86" s="43">
        <v>140</v>
      </c>
      <c r="M86" s="43">
        <v>160</v>
      </c>
      <c r="N86" s="43">
        <v>170</v>
      </c>
      <c r="O86" s="43">
        <v>170</v>
      </c>
      <c r="P86" s="88">
        <v>170</v>
      </c>
      <c r="Q86" s="439"/>
      <c r="R86" s="426"/>
    </row>
    <row r="87" spans="1:18" ht="12.75">
      <c r="A87" s="51" t="s">
        <v>486</v>
      </c>
      <c r="B87" s="5" t="s">
        <v>52</v>
      </c>
      <c r="C87" s="43">
        <v>10</v>
      </c>
      <c r="D87" s="43">
        <v>10</v>
      </c>
      <c r="E87" s="43">
        <v>6</v>
      </c>
      <c r="F87" s="43">
        <v>6</v>
      </c>
      <c r="G87" s="43">
        <v>7</v>
      </c>
      <c r="H87" s="43">
        <v>6</v>
      </c>
      <c r="I87" s="43">
        <v>5</v>
      </c>
      <c r="J87" s="43">
        <v>5</v>
      </c>
      <c r="K87" s="916">
        <v>5</v>
      </c>
      <c r="L87" s="43">
        <v>11</v>
      </c>
      <c r="M87" s="43">
        <v>12</v>
      </c>
      <c r="N87" s="43">
        <v>15</v>
      </c>
      <c r="O87" s="43">
        <v>15</v>
      </c>
      <c r="P87" s="88">
        <v>15</v>
      </c>
      <c r="Q87" s="439"/>
      <c r="R87" s="426"/>
    </row>
    <row r="88" spans="1:23" ht="12.75" customHeight="1">
      <c r="A88" s="51" t="s">
        <v>487</v>
      </c>
      <c r="B88" s="5" t="s">
        <v>52</v>
      </c>
      <c r="C88" s="43">
        <v>7</v>
      </c>
      <c r="D88" s="43">
        <v>6</v>
      </c>
      <c r="E88" s="43">
        <v>5</v>
      </c>
      <c r="F88" s="43">
        <v>6</v>
      </c>
      <c r="G88" s="43">
        <v>6</v>
      </c>
      <c r="H88" s="43">
        <v>6</v>
      </c>
      <c r="I88" s="43">
        <v>5</v>
      </c>
      <c r="J88" s="43">
        <v>4</v>
      </c>
      <c r="K88" s="916">
        <v>4</v>
      </c>
      <c r="L88" s="43">
        <v>251</v>
      </c>
      <c r="M88" s="43">
        <v>250</v>
      </c>
      <c r="N88" s="43">
        <v>260</v>
      </c>
      <c r="O88" s="43">
        <v>260</v>
      </c>
      <c r="P88" s="88">
        <v>260</v>
      </c>
      <c r="Q88" s="439"/>
      <c r="R88" s="426"/>
      <c r="W88" s="82"/>
    </row>
    <row r="89" spans="1:18" ht="12.75" customHeight="1">
      <c r="A89" s="51" t="s">
        <v>68</v>
      </c>
      <c r="B89" s="5" t="s">
        <v>52</v>
      </c>
      <c r="C89" s="43">
        <f>162+309</f>
        <v>471</v>
      </c>
      <c r="D89" s="43">
        <v>485</v>
      </c>
      <c r="E89" s="43">
        <f>349+106</f>
        <v>455</v>
      </c>
      <c r="F89" s="43">
        <f>352+104</f>
        <v>456</v>
      </c>
      <c r="G89" s="43">
        <v>441</v>
      </c>
      <c r="H89" s="43">
        <v>439</v>
      </c>
      <c r="I89" s="43">
        <v>410</v>
      </c>
      <c r="J89" s="43">
        <v>334</v>
      </c>
      <c r="K89" s="916">
        <v>357</v>
      </c>
      <c r="L89" s="43">
        <v>384</v>
      </c>
      <c r="M89" s="43">
        <v>385</v>
      </c>
      <c r="N89" s="43">
        <v>400</v>
      </c>
      <c r="O89" s="43">
        <v>400</v>
      </c>
      <c r="P89" s="88">
        <v>400</v>
      </c>
      <c r="Q89" s="439"/>
      <c r="R89" s="426"/>
    </row>
    <row r="90" spans="1:18" ht="12.75">
      <c r="A90" s="51" t="s">
        <v>488</v>
      </c>
      <c r="B90" s="5" t="s">
        <v>52</v>
      </c>
      <c r="C90" s="43">
        <v>438</v>
      </c>
      <c r="D90" s="43">
        <v>248</v>
      </c>
      <c r="E90" s="43">
        <v>202</v>
      </c>
      <c r="F90" s="43">
        <v>307</v>
      </c>
      <c r="G90" s="43">
        <v>414</v>
      </c>
      <c r="H90" s="43">
        <v>354</v>
      </c>
      <c r="I90" s="43">
        <v>256</v>
      </c>
      <c r="J90" s="43">
        <v>205</v>
      </c>
      <c r="K90" s="916">
        <v>248</v>
      </c>
      <c r="L90" s="43">
        <v>220</v>
      </c>
      <c r="M90" s="43">
        <v>230</v>
      </c>
      <c r="N90" s="43">
        <v>240</v>
      </c>
      <c r="O90" s="43">
        <v>240</v>
      </c>
      <c r="P90" s="88">
        <v>240</v>
      </c>
      <c r="Q90" s="439"/>
      <c r="R90" s="426"/>
    </row>
    <row r="91" spans="1:19" ht="22.5">
      <c r="A91" s="51" t="s">
        <v>489</v>
      </c>
      <c r="B91" s="5" t="s">
        <v>52</v>
      </c>
      <c r="C91" s="43">
        <f>51+85</f>
        <v>136</v>
      </c>
      <c r="D91" s="43">
        <v>104</v>
      </c>
      <c r="E91" s="43">
        <v>70</v>
      </c>
      <c r="F91" s="43">
        <f>43+30</f>
        <v>73</v>
      </c>
      <c r="G91" s="43">
        <f>45+21</f>
        <v>66</v>
      </c>
      <c r="H91" s="43">
        <v>66</v>
      </c>
      <c r="I91" s="43">
        <v>77</v>
      </c>
      <c r="J91" s="43">
        <v>107</v>
      </c>
      <c r="K91" s="916">
        <v>143</v>
      </c>
      <c r="L91" s="43">
        <v>52</v>
      </c>
      <c r="M91" s="43">
        <v>55</v>
      </c>
      <c r="N91" s="43">
        <v>60</v>
      </c>
      <c r="O91" s="43">
        <v>60</v>
      </c>
      <c r="P91" s="88">
        <v>60</v>
      </c>
      <c r="Q91" s="439"/>
      <c r="R91" s="426"/>
      <c r="S91" s="426"/>
    </row>
    <row r="92" spans="1:18" ht="12.75">
      <c r="A92" s="51" t="s">
        <v>64</v>
      </c>
      <c r="B92" s="5" t="s">
        <v>52</v>
      </c>
      <c r="C92" s="43">
        <f>1+7</f>
        <v>8</v>
      </c>
      <c r="D92" s="43">
        <v>6</v>
      </c>
      <c r="E92" s="43">
        <v>3</v>
      </c>
      <c r="F92" s="43">
        <v>3</v>
      </c>
      <c r="G92" s="43">
        <v>1</v>
      </c>
      <c r="H92" s="43">
        <v>1</v>
      </c>
      <c r="I92" s="43">
        <v>1</v>
      </c>
      <c r="J92" s="43">
        <v>1</v>
      </c>
      <c r="K92" s="916">
        <v>5</v>
      </c>
      <c r="L92" s="43">
        <v>124</v>
      </c>
      <c r="M92" s="43">
        <v>124</v>
      </c>
      <c r="N92" s="43">
        <v>130</v>
      </c>
      <c r="O92" s="43">
        <v>130</v>
      </c>
      <c r="P92" s="88">
        <v>130</v>
      </c>
      <c r="Q92" s="439"/>
      <c r="R92" s="426"/>
    </row>
    <row r="93" spans="1:18" ht="12.75" hidden="1">
      <c r="A93" s="51" t="s">
        <v>65</v>
      </c>
      <c r="B93" s="5" t="s">
        <v>52</v>
      </c>
      <c r="C93" s="43">
        <f>120+221</f>
        <v>341</v>
      </c>
      <c r="D93" s="43">
        <v>316</v>
      </c>
      <c r="E93" s="43">
        <f>202+74</f>
        <v>276</v>
      </c>
      <c r="F93" s="43">
        <f>211+72</f>
        <v>283</v>
      </c>
      <c r="G93" s="43">
        <f>219+45</f>
        <v>264</v>
      </c>
      <c r="H93" s="43">
        <v>253</v>
      </c>
      <c r="I93" s="43">
        <v>255</v>
      </c>
      <c r="J93" s="43">
        <v>255</v>
      </c>
      <c r="K93" s="916">
        <v>294</v>
      </c>
      <c r="L93" s="43"/>
      <c r="M93" s="43"/>
      <c r="N93" s="43"/>
      <c r="O93" s="43"/>
      <c r="P93" s="88"/>
      <c r="Q93" s="439"/>
      <c r="R93" s="426"/>
    </row>
    <row r="94" spans="1:18" ht="22.5" hidden="1">
      <c r="A94" s="51" t="s">
        <v>66</v>
      </c>
      <c r="B94" s="5" t="s">
        <v>52</v>
      </c>
      <c r="C94" s="43">
        <f>50+130</f>
        <v>180</v>
      </c>
      <c r="D94" s="43">
        <v>166</v>
      </c>
      <c r="E94" s="43">
        <f>31+119</f>
        <v>150</v>
      </c>
      <c r="F94" s="43">
        <f>29+11+118</f>
        <v>158</v>
      </c>
      <c r="G94" s="43">
        <f>10+141</f>
        <v>151</v>
      </c>
      <c r="H94" s="296">
        <v>144</v>
      </c>
      <c r="I94" s="296">
        <v>128</v>
      </c>
      <c r="J94" s="296">
        <v>132</v>
      </c>
      <c r="K94" s="917">
        <v>135</v>
      </c>
      <c r="L94" s="296"/>
      <c r="M94" s="296"/>
      <c r="N94" s="296"/>
      <c r="O94" s="296"/>
      <c r="P94" s="297"/>
      <c r="Q94" s="439"/>
      <c r="R94" s="426"/>
    </row>
    <row r="95" spans="1:18" ht="22.5" hidden="1">
      <c r="A95" s="51" t="s">
        <v>67</v>
      </c>
      <c r="B95" s="5" t="s">
        <v>52</v>
      </c>
      <c r="C95" s="43">
        <f>131+227</f>
        <v>358</v>
      </c>
      <c r="D95" s="43">
        <v>375</v>
      </c>
      <c r="E95" s="43">
        <f>272+47</f>
        <v>319</v>
      </c>
      <c r="F95" s="43">
        <f>272+42</f>
        <v>314</v>
      </c>
      <c r="G95" s="43">
        <f>260+17</f>
        <v>277</v>
      </c>
      <c r="H95" s="296">
        <f>298+9</f>
        <v>307</v>
      </c>
      <c r="I95" s="296">
        <f>269+10</f>
        <v>279</v>
      </c>
      <c r="J95" s="296">
        <f>8+263</f>
        <v>271</v>
      </c>
      <c r="K95" s="917">
        <v>255</v>
      </c>
      <c r="L95" s="296"/>
      <c r="M95" s="296"/>
      <c r="N95" s="296"/>
      <c r="O95" s="296"/>
      <c r="P95" s="297"/>
      <c r="Q95" s="439"/>
      <c r="R95" s="426"/>
    </row>
    <row r="96" spans="1:18" ht="12.75" hidden="1">
      <c r="A96" s="51" t="s">
        <v>68</v>
      </c>
      <c r="B96" s="5" t="s">
        <v>52</v>
      </c>
      <c r="C96" s="43">
        <f>114+424</f>
        <v>538</v>
      </c>
      <c r="D96" s="43">
        <v>581</v>
      </c>
      <c r="E96" s="43">
        <f>94+359</f>
        <v>453</v>
      </c>
      <c r="F96" s="43">
        <f>369+93</f>
        <v>462</v>
      </c>
      <c r="G96" s="43">
        <f>400+77</f>
        <v>477</v>
      </c>
      <c r="H96" s="296">
        <v>404</v>
      </c>
      <c r="I96" s="296">
        <v>395</v>
      </c>
      <c r="J96" s="296">
        <v>378</v>
      </c>
      <c r="K96" s="917">
        <v>378</v>
      </c>
      <c r="L96" s="296"/>
      <c r="M96" s="296"/>
      <c r="N96" s="296"/>
      <c r="O96" s="296"/>
      <c r="P96" s="297"/>
      <c r="Q96" s="439"/>
      <c r="R96" s="426"/>
    </row>
    <row r="97" spans="1:18" ht="12.75" hidden="1">
      <c r="A97" s="51" t="s">
        <v>69</v>
      </c>
      <c r="B97" s="5" t="s">
        <v>52</v>
      </c>
      <c r="C97" s="43">
        <f>65+248</f>
        <v>313</v>
      </c>
      <c r="D97" s="43">
        <v>288</v>
      </c>
      <c r="E97" s="43">
        <f>28+236</f>
        <v>264</v>
      </c>
      <c r="F97" s="43">
        <f>236+27</f>
        <v>263</v>
      </c>
      <c r="G97" s="43">
        <f>252</f>
        <v>252</v>
      </c>
      <c r="H97" s="296">
        <v>263</v>
      </c>
      <c r="I97" s="296">
        <v>243</v>
      </c>
      <c r="J97" s="296">
        <v>220</v>
      </c>
      <c r="K97" s="917">
        <v>225</v>
      </c>
      <c r="L97" s="296"/>
      <c r="M97" s="296"/>
      <c r="N97" s="296"/>
      <c r="O97" s="296"/>
      <c r="P97" s="297"/>
      <c r="Q97" s="439"/>
      <c r="R97" s="426"/>
    </row>
    <row r="98" spans="1:18" ht="22.5" hidden="1">
      <c r="A98" s="51" t="s">
        <v>70</v>
      </c>
      <c r="B98" s="5" t="s">
        <v>52</v>
      </c>
      <c r="C98" s="43">
        <f>48+145</f>
        <v>193</v>
      </c>
      <c r="D98" s="43">
        <v>181</v>
      </c>
      <c r="E98" s="43">
        <f>15+113+9</f>
        <v>137</v>
      </c>
      <c r="F98" s="43">
        <f>110+17</f>
        <v>127</v>
      </c>
      <c r="G98" s="43">
        <v>119</v>
      </c>
      <c r="H98" s="296">
        <v>104</v>
      </c>
      <c r="I98" s="296">
        <v>69</v>
      </c>
      <c r="J98" s="296">
        <v>65</v>
      </c>
      <c r="K98" s="917">
        <v>59</v>
      </c>
      <c r="L98" s="296"/>
      <c r="M98" s="296"/>
      <c r="N98" s="296"/>
      <c r="O98" s="296"/>
      <c r="P98" s="297"/>
      <c r="Q98" s="439"/>
      <c r="R98" s="426"/>
    </row>
    <row r="99" spans="1:18" ht="22.5" hidden="1">
      <c r="A99" s="51" t="s">
        <v>71</v>
      </c>
      <c r="B99" s="5" t="s">
        <v>52</v>
      </c>
      <c r="C99" s="43">
        <v>143</v>
      </c>
      <c r="D99" s="43">
        <v>129</v>
      </c>
      <c r="E99" s="43">
        <f>17+74</f>
        <v>91</v>
      </c>
      <c r="F99" s="43">
        <f>110+26</f>
        <v>136</v>
      </c>
      <c r="G99" s="43">
        <f>75+27</f>
        <v>102</v>
      </c>
      <c r="H99" s="296">
        <v>103</v>
      </c>
      <c r="I99" s="296">
        <v>126</v>
      </c>
      <c r="J99" s="296">
        <v>131</v>
      </c>
      <c r="K99" s="917">
        <v>106</v>
      </c>
      <c r="L99" s="296"/>
      <c r="M99" s="296"/>
      <c r="N99" s="296"/>
      <c r="O99" s="296"/>
      <c r="P99" s="297"/>
      <c r="Q99" s="439"/>
      <c r="R99" s="426"/>
    </row>
    <row r="100" spans="1:18" ht="12.75" hidden="1">
      <c r="A100" s="4" t="s">
        <v>72</v>
      </c>
      <c r="B100" s="5" t="s">
        <v>52</v>
      </c>
      <c r="C100" s="43">
        <f>98+30</f>
        <v>128</v>
      </c>
      <c r="D100" s="43">
        <v>106</v>
      </c>
      <c r="E100" s="43">
        <f>16+70</f>
        <v>86</v>
      </c>
      <c r="F100" s="43">
        <f>104+21</f>
        <v>125</v>
      </c>
      <c r="G100" s="43">
        <f>60+18</f>
        <v>78</v>
      </c>
      <c r="H100" s="296">
        <v>67</v>
      </c>
      <c r="I100" s="296">
        <v>116</v>
      </c>
      <c r="J100" s="296">
        <v>130</v>
      </c>
      <c r="K100" s="917">
        <v>93</v>
      </c>
      <c r="L100" s="296"/>
      <c r="M100" s="296"/>
      <c r="N100" s="296"/>
      <c r="O100" s="296"/>
      <c r="P100" s="297"/>
      <c r="Q100" s="439"/>
      <c r="R100" s="426"/>
    </row>
    <row r="101" spans="1:19" ht="15">
      <c r="A101" s="1326" t="s">
        <v>73</v>
      </c>
      <c r="B101" s="1327"/>
      <c r="C101" s="1327"/>
      <c r="D101" s="1327"/>
      <c r="E101" s="1327"/>
      <c r="F101" s="1327"/>
      <c r="G101" s="1327"/>
      <c r="H101" s="1327"/>
      <c r="I101" s="1327"/>
      <c r="J101" s="1327"/>
      <c r="K101" s="1327"/>
      <c r="L101" s="1327"/>
      <c r="M101" s="1327"/>
      <c r="N101" s="1327"/>
      <c r="O101" s="1327"/>
      <c r="P101" s="1328"/>
      <c r="Q101" s="446"/>
      <c r="R101" s="426"/>
      <c r="S101" s="181"/>
    </row>
    <row r="102" spans="1:23" ht="12.75">
      <c r="A102" s="38" t="s">
        <v>18</v>
      </c>
      <c r="B102" s="5" t="s">
        <v>23</v>
      </c>
      <c r="C102" s="43">
        <f>1012.72+304.42</f>
        <v>1317.14</v>
      </c>
      <c r="D102" s="52">
        <f>D104+D105</f>
        <v>1184.054</v>
      </c>
      <c r="E102" s="180">
        <f>(1210130.9+257869.9)/1000</f>
        <v>1468.0007999999998</v>
      </c>
      <c r="F102" s="180">
        <f>(1339415.6+257525.9)/1000</f>
        <v>1596.9415</v>
      </c>
      <c r="G102" s="225">
        <f>(1656116.4+167771.4)/1000</f>
        <v>1823.8877999999997</v>
      </c>
      <c r="H102" s="225">
        <f>1961189.9/1000</f>
        <v>1961.1898999999999</v>
      </c>
      <c r="I102" s="90">
        <v>2025.657</v>
      </c>
      <c r="J102" s="90">
        <v>1967.976</v>
      </c>
      <c r="K102" s="90">
        <v>2160.552</v>
      </c>
      <c r="L102" s="90">
        <v>2523.879</v>
      </c>
      <c r="M102" s="90">
        <v>2800</v>
      </c>
      <c r="N102" s="90">
        <v>2850</v>
      </c>
      <c r="O102" s="90">
        <v>2900</v>
      </c>
      <c r="P102" s="238">
        <v>2900</v>
      </c>
      <c r="Q102" s="447"/>
      <c r="R102" s="426">
        <f>M107/L107</f>
        <v>1.0964272614688282</v>
      </c>
      <c r="S102" s="181"/>
      <c r="T102" s="181"/>
      <c r="U102" s="181"/>
      <c r="V102" s="181"/>
      <c r="W102" s="181"/>
    </row>
    <row r="103" spans="1:23" ht="12.75" hidden="1">
      <c r="A103" s="14" t="s">
        <v>74</v>
      </c>
      <c r="B103" s="5"/>
      <c r="C103" s="53"/>
      <c r="D103" s="53"/>
      <c r="E103" s="76"/>
      <c r="F103" s="76"/>
      <c r="G103" s="76"/>
      <c r="H103" s="76"/>
      <c r="I103" s="53"/>
      <c r="J103" s="53"/>
      <c r="K103" s="53"/>
      <c r="L103" s="53"/>
      <c r="M103" s="53"/>
      <c r="N103" s="53"/>
      <c r="O103" s="53"/>
      <c r="P103" s="179"/>
      <c r="Q103" s="427"/>
      <c r="R103" s="426"/>
      <c r="T103" s="181"/>
      <c r="U103" s="181"/>
      <c r="V103" s="181"/>
      <c r="W103" s="181"/>
    </row>
    <row r="104" spans="1:24" ht="12.75" hidden="1">
      <c r="A104" s="4" t="s">
        <v>75</v>
      </c>
      <c r="B104" s="5" t="s">
        <v>23</v>
      </c>
      <c r="C104" s="43">
        <f>515.88+77.75</f>
        <v>593.63</v>
      </c>
      <c r="D104" s="52">
        <v>470.3682</v>
      </c>
      <c r="E104" s="180">
        <f>E102*40%</f>
        <v>587.2003199999999</v>
      </c>
      <c r="F104" s="180">
        <f>F102*40%</f>
        <v>638.7766</v>
      </c>
      <c r="G104" s="225">
        <f>G102*40%</f>
        <v>729.55512</v>
      </c>
      <c r="H104" s="225">
        <f>H102*40%</f>
        <v>784.47596</v>
      </c>
      <c r="I104" s="90">
        <f>H104*96.6%</f>
        <v>757.8037773599999</v>
      </c>
      <c r="J104" s="90">
        <f>I104*112%</f>
        <v>848.7402306432</v>
      </c>
      <c r="K104" s="90"/>
      <c r="L104" s="90"/>
      <c r="M104" s="90"/>
      <c r="N104" s="90">
        <f>J104*109%</f>
        <v>925.1268514010881</v>
      </c>
      <c r="O104" s="90">
        <f>N104*107%</f>
        <v>989.8857309991643</v>
      </c>
      <c r="P104" s="238">
        <f>O104*108%</f>
        <v>1069.0765894790975</v>
      </c>
      <c r="Q104" s="447"/>
      <c r="R104" s="426"/>
      <c r="T104" s="182"/>
      <c r="U104" s="182"/>
      <c r="V104" s="182"/>
      <c r="W104" s="182"/>
      <c r="X104" s="182"/>
    </row>
    <row r="105" spans="1:18" ht="12.75" hidden="1">
      <c r="A105" s="4" t="s">
        <v>76</v>
      </c>
      <c r="B105" s="5" t="s">
        <v>23</v>
      </c>
      <c r="C105" s="52">
        <f>(496847.21+226670.8)/1000</f>
        <v>723.51801</v>
      </c>
      <c r="D105" s="52">
        <v>713.6858</v>
      </c>
      <c r="E105" s="180">
        <f>E102*60%</f>
        <v>880.8004799999999</v>
      </c>
      <c r="F105" s="180">
        <f>F102*60%</f>
        <v>958.1648999999999</v>
      </c>
      <c r="G105" s="225">
        <f>G102*60%</f>
        <v>1094.3326799999998</v>
      </c>
      <c r="H105" s="225">
        <f>H102*60%</f>
        <v>1176.7139399999999</v>
      </c>
      <c r="I105" s="90">
        <f>H105*96.6%</f>
        <v>1136.7056660399999</v>
      </c>
      <c r="J105" s="90">
        <f>I105*112%</f>
        <v>1273.1103459648</v>
      </c>
      <c r="K105" s="90"/>
      <c r="L105" s="90"/>
      <c r="M105" s="90"/>
      <c r="N105" s="90">
        <f>J105*109%</f>
        <v>1387.690277101632</v>
      </c>
      <c r="O105" s="90">
        <f>N105*107%</f>
        <v>1484.8285964987465</v>
      </c>
      <c r="P105" s="238">
        <f>O105*108%</f>
        <v>1603.6148842186462</v>
      </c>
      <c r="Q105" s="447"/>
      <c r="R105" s="426"/>
    </row>
    <row r="106" spans="1:22" ht="15.75">
      <c r="A106" s="1329" t="s">
        <v>180</v>
      </c>
      <c r="B106" s="1330"/>
      <c r="C106" s="1309"/>
      <c r="D106" s="1309"/>
      <c r="E106" s="1309"/>
      <c r="F106" s="1309"/>
      <c r="G106" s="1309"/>
      <c r="H106" s="1309"/>
      <c r="I106" s="1309"/>
      <c r="J106" s="1309"/>
      <c r="K106" s="1309"/>
      <c r="L106" s="1309"/>
      <c r="M106" s="1309"/>
      <c r="N106" s="1309"/>
      <c r="O106" s="1309"/>
      <c r="P106" s="1310"/>
      <c r="Q106" s="425"/>
      <c r="R106" s="432">
        <f>M107-L107</f>
        <v>303.11900000000014</v>
      </c>
      <c r="S106" s="176">
        <v>55581.3</v>
      </c>
      <c r="T106" s="234">
        <f>S107/S106</f>
        <v>1.0897370158668473</v>
      </c>
      <c r="U106" s="234"/>
      <c r="V106" s="176"/>
    </row>
    <row r="107" spans="1:24" ht="12.75">
      <c r="A107" s="51" t="s">
        <v>77</v>
      </c>
      <c r="B107" s="5" t="s">
        <v>23</v>
      </c>
      <c r="C107" s="52">
        <f aca="true" t="shared" si="16" ref="C107:P107">SUM(C109+C110+C112)</f>
        <v>1440.6276</v>
      </c>
      <c r="D107" s="52">
        <f t="shared" si="16"/>
        <v>1440.6840000000002</v>
      </c>
      <c r="E107" s="52">
        <f>SUM(E109+E110+E112)</f>
        <v>1725.4527999999998</v>
      </c>
      <c r="F107" s="52">
        <f>SUM(F109+F110+F112)</f>
        <v>1891.8055</v>
      </c>
      <c r="G107" s="52">
        <f t="shared" si="16"/>
        <v>2241.9878</v>
      </c>
      <c r="H107" s="90">
        <f t="shared" si="16"/>
        <v>2446.4898999999996</v>
      </c>
      <c r="I107" s="90">
        <f t="shared" si="16"/>
        <v>2593.942</v>
      </c>
      <c r="J107" s="90">
        <f t="shared" si="16"/>
        <v>2558.454</v>
      </c>
      <c r="K107" s="90">
        <f t="shared" si="16"/>
        <v>2782.733</v>
      </c>
      <c r="L107" s="90">
        <f t="shared" si="16"/>
        <v>3143.499</v>
      </c>
      <c r="M107" s="90">
        <f t="shared" si="16"/>
        <v>3446.618</v>
      </c>
      <c r="N107" s="90">
        <f t="shared" si="16"/>
        <v>3512.601</v>
      </c>
      <c r="O107" s="90">
        <f t="shared" si="16"/>
        <v>3577.199</v>
      </c>
      <c r="P107" s="238">
        <f t="shared" si="16"/>
        <v>3592.14</v>
      </c>
      <c r="Q107" s="447"/>
      <c r="R107" s="432">
        <f>M107*1000/12/R8</f>
        <v>60568.99339238015</v>
      </c>
      <c r="S107" s="432">
        <v>60569</v>
      </c>
      <c r="T107" s="183"/>
      <c r="U107" s="183"/>
      <c r="V107" s="176"/>
      <c r="X107" s="181"/>
    </row>
    <row r="108" spans="1:23" ht="12.75">
      <c r="A108" s="1313" t="s">
        <v>78</v>
      </c>
      <c r="B108" s="1309"/>
      <c r="C108" s="1309"/>
      <c r="D108" s="1309"/>
      <c r="E108" s="1309"/>
      <c r="F108" s="1309"/>
      <c r="G108" s="1309"/>
      <c r="H108" s="1309"/>
      <c r="I108" s="1309"/>
      <c r="J108" s="1309"/>
      <c r="K108" s="1309"/>
      <c r="L108" s="1309"/>
      <c r="M108" s="1309"/>
      <c r="N108" s="1309"/>
      <c r="O108" s="1309"/>
      <c r="P108" s="1310"/>
      <c r="Q108" s="425"/>
      <c r="R108" s="432"/>
      <c r="S108" s="432"/>
      <c r="T108" s="183"/>
      <c r="U108" s="183"/>
      <c r="V108" s="176"/>
      <c r="W108" s="82"/>
    </row>
    <row r="109" spans="1:23" ht="12.75">
      <c r="A109" s="4" t="s">
        <v>79</v>
      </c>
      <c r="B109" s="5" t="s">
        <v>23</v>
      </c>
      <c r="C109" s="43">
        <f aca="true" t="shared" si="17" ref="C109:P109">C102</f>
        <v>1317.14</v>
      </c>
      <c r="D109" s="52">
        <f t="shared" si="17"/>
        <v>1184.054</v>
      </c>
      <c r="E109" s="52">
        <f>E102</f>
        <v>1468.0007999999998</v>
      </c>
      <c r="F109" s="52">
        <f>F102</f>
        <v>1596.9415</v>
      </c>
      <c r="G109" s="52">
        <f t="shared" si="17"/>
        <v>1823.8877999999997</v>
      </c>
      <c r="H109" s="52">
        <f t="shared" si="17"/>
        <v>1961.1898999999999</v>
      </c>
      <c r="I109" s="52">
        <f>I102</f>
        <v>2025.657</v>
      </c>
      <c r="J109" s="52">
        <f t="shared" si="17"/>
        <v>1967.976</v>
      </c>
      <c r="K109" s="52">
        <f t="shared" si="17"/>
        <v>2160.552</v>
      </c>
      <c r="L109" s="52">
        <f>L102</f>
        <v>2523.879</v>
      </c>
      <c r="M109" s="52">
        <f>M102</f>
        <v>2800</v>
      </c>
      <c r="N109" s="52">
        <f t="shared" si="17"/>
        <v>2850</v>
      </c>
      <c r="O109" s="52">
        <f t="shared" si="17"/>
        <v>2900</v>
      </c>
      <c r="P109" s="968">
        <f t="shared" si="17"/>
        <v>2900</v>
      </c>
      <c r="Q109" s="430">
        <f>M109/L109*100</f>
        <v>110.94034222718285</v>
      </c>
      <c r="R109" s="427">
        <f>L109/L83*1000000/12</f>
        <v>83827.52092467119</v>
      </c>
      <c r="S109" s="427">
        <f>M109/M83*1000000/12</f>
        <v>91145.83333333333</v>
      </c>
      <c r="T109" s="1041">
        <f>S109/R109</f>
        <v>1.0873020259687567</v>
      </c>
      <c r="U109" s="183"/>
      <c r="V109" s="183"/>
      <c r="W109" s="82"/>
    </row>
    <row r="110" spans="1:24" ht="12.75">
      <c r="A110" s="4" t="s">
        <v>80</v>
      </c>
      <c r="B110" s="5" t="s">
        <v>23</v>
      </c>
      <c r="C110" s="52">
        <f>C111+2.4383</f>
        <v>103.4876</v>
      </c>
      <c r="D110" s="52">
        <v>236.63</v>
      </c>
      <c r="E110" s="52">
        <f>E111+39.27</f>
        <v>237.45200000000003</v>
      </c>
      <c r="F110" s="52">
        <f>F111+61.65</f>
        <v>290.25</v>
      </c>
      <c r="G110" s="52">
        <f>G111+52.87</f>
        <v>411.1</v>
      </c>
      <c r="H110" s="52">
        <f>H111+56.9+17</f>
        <v>477.29999999999995</v>
      </c>
      <c r="I110" s="52">
        <f>I111+100.286+30.983</f>
        <v>558.285</v>
      </c>
      <c r="J110" s="52">
        <f>J111+73.497+40.213</f>
        <v>573.478</v>
      </c>
      <c r="K110" s="52">
        <f>K111+82.252+52.986</f>
        <v>604.1809999999999</v>
      </c>
      <c r="L110" s="52">
        <f>L111+82.624</f>
        <v>599.62</v>
      </c>
      <c r="M110" s="52">
        <f>M111+80.649</f>
        <v>623.618</v>
      </c>
      <c r="N110" s="52">
        <f>N111+81.947</f>
        <v>637.601</v>
      </c>
      <c r="O110" s="52">
        <f>O111+84.405</f>
        <v>652.199</v>
      </c>
      <c r="P110" s="968">
        <f>P111+86.937</f>
        <v>667.14</v>
      </c>
      <c r="Q110" s="430"/>
      <c r="R110" s="427"/>
      <c r="S110" s="176"/>
      <c r="T110" s="183"/>
      <c r="U110" s="183"/>
      <c r="V110" s="183"/>
      <c r="W110" s="82"/>
      <c r="X110" s="181"/>
    </row>
    <row r="111" spans="1:23" ht="12.75">
      <c r="A111" s="4" t="s">
        <v>81</v>
      </c>
      <c r="B111" s="5" t="s">
        <v>23</v>
      </c>
      <c r="C111" s="52">
        <v>101.0493</v>
      </c>
      <c r="D111" s="52">
        <v>233.31</v>
      </c>
      <c r="E111" s="52">
        <f>191.662+6.52</f>
        <v>198.18200000000002</v>
      </c>
      <c r="F111" s="52">
        <v>228.6</v>
      </c>
      <c r="G111" s="52">
        <v>358.23</v>
      </c>
      <c r="H111" s="52">
        <v>403.4</v>
      </c>
      <c r="I111" s="52">
        <v>427.016</v>
      </c>
      <c r="J111" s="52">
        <v>459.768</v>
      </c>
      <c r="K111" s="52">
        <v>468.943</v>
      </c>
      <c r="L111" s="52">
        <f>527.696-10.7</f>
        <v>516.996</v>
      </c>
      <c r="M111" s="52">
        <v>542.969</v>
      </c>
      <c r="N111" s="52">
        <v>555.654</v>
      </c>
      <c r="O111" s="52">
        <v>567.794</v>
      </c>
      <c r="P111" s="968">
        <v>580.203</v>
      </c>
      <c r="Q111" s="430"/>
      <c r="R111" s="427"/>
      <c r="S111" s="176"/>
      <c r="T111" s="183"/>
      <c r="U111" s="183"/>
      <c r="V111" s="183"/>
      <c r="W111" s="82"/>
    </row>
    <row r="112" spans="1:23" ht="12.75">
      <c r="A112" s="4" t="s">
        <v>82</v>
      </c>
      <c r="B112" s="5" t="s">
        <v>23</v>
      </c>
      <c r="C112" s="45">
        <v>20</v>
      </c>
      <c r="D112" s="45">
        <v>20</v>
      </c>
      <c r="E112" s="44">
        <v>20</v>
      </c>
      <c r="F112" s="44">
        <f>2.614+2</f>
        <v>4.614</v>
      </c>
      <c r="G112" s="44">
        <v>7</v>
      </c>
      <c r="H112" s="44">
        <v>8</v>
      </c>
      <c r="I112" s="44">
        <v>10</v>
      </c>
      <c r="J112" s="44">
        <v>17</v>
      </c>
      <c r="K112" s="44">
        <v>18</v>
      </c>
      <c r="L112" s="44">
        <v>20</v>
      </c>
      <c r="M112" s="44">
        <v>23</v>
      </c>
      <c r="N112" s="44">
        <v>25</v>
      </c>
      <c r="O112" s="44">
        <v>25</v>
      </c>
      <c r="P112" s="969">
        <v>25</v>
      </c>
      <c r="Q112" s="442"/>
      <c r="R112" s="427"/>
      <c r="S112" s="176"/>
      <c r="T112" s="183"/>
      <c r="U112" s="183"/>
      <c r="V112" s="183"/>
      <c r="W112" s="82"/>
    </row>
    <row r="113" spans="1:22" ht="12.75">
      <c r="A113" s="926" t="s">
        <v>83</v>
      </c>
      <c r="B113" s="927" t="s">
        <v>23</v>
      </c>
      <c r="C113" s="928">
        <f>C115+C117</f>
        <v>1010.8697999999999</v>
      </c>
      <c r="D113" s="928">
        <f>D115+D117</f>
        <v>1013.052</v>
      </c>
      <c r="E113" s="928">
        <f>E115+E117</f>
        <v>1026.081918</v>
      </c>
      <c r="F113" s="929">
        <f>F115+F117</f>
        <v>839.9581000000001</v>
      </c>
      <c r="G113" s="929">
        <f>G115+G117</f>
        <v>772.739</v>
      </c>
      <c r="H113" s="929">
        <f>H115+H117+595.11</f>
        <v>1444.21001</v>
      </c>
      <c r="I113" s="929">
        <f>I115+I117+191</f>
        <v>1617.49921</v>
      </c>
      <c r="J113" s="929">
        <f>J115+J117+300</f>
        <v>1653.32071</v>
      </c>
      <c r="K113" s="929">
        <f>K115+K117+300</f>
        <v>1661.4853433333333</v>
      </c>
      <c r="L113" s="929">
        <f>L115+L117+300</f>
        <v>1688.50001</v>
      </c>
      <c r="M113" s="929">
        <f>M115+M117+300</f>
        <v>300</v>
      </c>
      <c r="N113" s="929">
        <f>N115+N117+399</f>
        <v>1810.3510099999999</v>
      </c>
      <c r="O113" s="929">
        <f>O115+O117+680</f>
        <v>2108.762523</v>
      </c>
      <c r="P113" s="930">
        <f>P115+P117+680</f>
        <v>2126.0729380169996</v>
      </c>
      <c r="Q113" s="447"/>
      <c r="R113" s="432"/>
      <c r="S113" s="432"/>
      <c r="T113" s="183"/>
      <c r="U113" s="183"/>
      <c r="V113" s="183"/>
    </row>
    <row r="114" spans="1:22" ht="12.75">
      <c r="A114" s="1320" t="s">
        <v>78</v>
      </c>
      <c r="B114" s="1321"/>
      <c r="C114" s="1321"/>
      <c r="D114" s="1321"/>
      <c r="E114" s="1321"/>
      <c r="F114" s="1321"/>
      <c r="G114" s="1321"/>
      <c r="H114" s="1321"/>
      <c r="I114" s="1321"/>
      <c r="J114" s="1321"/>
      <c r="K114" s="1321"/>
      <c r="L114" s="1321"/>
      <c r="M114" s="1321"/>
      <c r="N114" s="1321"/>
      <c r="O114" s="1321"/>
      <c r="P114" s="1322"/>
      <c r="Q114" s="425"/>
      <c r="R114" s="432"/>
      <c r="S114" s="432"/>
      <c r="T114" s="183"/>
      <c r="U114" s="183"/>
      <c r="V114" s="183"/>
    </row>
    <row r="115" spans="1:24" ht="12.75">
      <c r="A115" s="931" t="s">
        <v>84</v>
      </c>
      <c r="B115" s="927" t="s">
        <v>23</v>
      </c>
      <c r="C115" s="928">
        <f>C116+136.4798</f>
        <v>1000.8697999999999</v>
      </c>
      <c r="D115" s="928">
        <f>D116+D127</f>
        <v>1004.352</v>
      </c>
      <c r="E115" s="928">
        <f>E116+E127</f>
        <v>1014.0819180000001</v>
      </c>
      <c r="F115" s="928">
        <f>F122+F124+F127+F116</f>
        <v>821.9581000000001</v>
      </c>
      <c r="G115" s="929">
        <f>G122+G124+G127+G116</f>
        <v>749.739</v>
      </c>
      <c r="H115" s="929">
        <f>H122+H124+H127+H116</f>
        <v>799.10001</v>
      </c>
      <c r="I115" s="929">
        <f>I122+I124+I127+I116+130</f>
        <v>1366.49921</v>
      </c>
      <c r="J115" s="929">
        <f>J122+J124+J127+J116</f>
        <v>1275.32071</v>
      </c>
      <c r="K115" s="929">
        <f>K122+K124+K127+K116</f>
        <v>1279.4853433333333</v>
      </c>
      <c r="L115" s="929">
        <f>L122+L124+L127+L116</f>
        <v>1303.50001</v>
      </c>
      <c r="M115" s="929"/>
      <c r="N115" s="929">
        <f>N122+N124+N127+N116</f>
        <v>1321.3510099999999</v>
      </c>
      <c r="O115" s="929">
        <f>O122+O124+O127+O116</f>
        <v>1338.7625229999999</v>
      </c>
      <c r="P115" s="930">
        <f>P122+P124+P127+P116</f>
        <v>1356.0729380169996</v>
      </c>
      <c r="Q115" s="447"/>
      <c r="R115" s="427"/>
      <c r="S115" s="176"/>
      <c r="T115" s="183"/>
      <c r="U115" s="183"/>
      <c r="V115" s="183"/>
      <c r="W115" s="176"/>
      <c r="X115" s="176"/>
    </row>
    <row r="116" spans="1:31" ht="12.75">
      <c r="A116" s="932" t="s">
        <v>185</v>
      </c>
      <c r="B116" s="927" t="s">
        <v>23</v>
      </c>
      <c r="C116" s="928">
        <v>864.39</v>
      </c>
      <c r="D116" s="928">
        <v>820.16</v>
      </c>
      <c r="E116" s="928">
        <v>922.9939180000001</v>
      </c>
      <c r="F116" s="928">
        <f>F122*110%</f>
        <v>377.9721</v>
      </c>
      <c r="G116" s="928">
        <f>G122*110%</f>
        <v>332.618</v>
      </c>
      <c r="H116" s="928">
        <f>H122*120%</f>
        <v>342.96</v>
      </c>
      <c r="I116" s="928">
        <f>I122*130%+500.1</f>
        <v>822.6352</v>
      </c>
      <c r="J116" s="928">
        <f aca="true" t="shared" si="18" ref="J116:P116">J122*130%+600</f>
        <v>908.8527</v>
      </c>
      <c r="K116" s="928">
        <f t="shared" si="18"/>
        <v>915.068</v>
      </c>
      <c r="L116" s="928">
        <f t="shared" si="18"/>
        <v>925</v>
      </c>
      <c r="M116" s="928"/>
      <c r="N116" s="928">
        <f t="shared" si="18"/>
        <v>932.4749999999999</v>
      </c>
      <c r="O116" s="928">
        <f t="shared" si="18"/>
        <v>939.4569749999999</v>
      </c>
      <c r="P116" s="933">
        <f t="shared" si="18"/>
        <v>946.5855714749998</v>
      </c>
      <c r="Q116" s="430"/>
      <c r="R116" s="427"/>
      <c r="S116" s="427"/>
      <c r="T116" s="183"/>
      <c r="U116" s="183"/>
      <c r="V116" s="183"/>
      <c r="W116" s="176"/>
      <c r="X116" s="176"/>
      <c r="Y116" s="176"/>
      <c r="Z116" s="176"/>
      <c r="AA116" s="176"/>
      <c r="AB116" s="176"/>
      <c r="AC116" s="176"/>
      <c r="AD116" s="176"/>
      <c r="AE116" s="176"/>
    </row>
    <row r="117" spans="1:31" ht="12" customHeight="1">
      <c r="A117" s="931" t="s">
        <v>193</v>
      </c>
      <c r="B117" s="927" t="s">
        <v>23</v>
      </c>
      <c r="C117" s="928">
        <v>10</v>
      </c>
      <c r="D117" s="928">
        <v>8.7</v>
      </c>
      <c r="E117" s="928">
        <v>12</v>
      </c>
      <c r="F117" s="928">
        <f>237-219</f>
        <v>18</v>
      </c>
      <c r="G117" s="928">
        <v>23</v>
      </c>
      <c r="H117" s="928">
        <v>50</v>
      </c>
      <c r="I117" s="928">
        <v>60</v>
      </c>
      <c r="J117" s="928">
        <v>78</v>
      </c>
      <c r="K117" s="928">
        <v>82</v>
      </c>
      <c r="L117" s="928">
        <v>85</v>
      </c>
      <c r="M117" s="928"/>
      <c r="N117" s="928">
        <v>90</v>
      </c>
      <c r="O117" s="928">
        <v>90</v>
      </c>
      <c r="P117" s="933">
        <v>90</v>
      </c>
      <c r="Q117" s="430"/>
      <c r="R117" s="432"/>
      <c r="S117" s="176"/>
      <c r="T117" s="183"/>
      <c r="U117" s="183"/>
      <c r="V117" s="183"/>
      <c r="W117" s="176"/>
      <c r="X117" s="176"/>
      <c r="Y117" s="176"/>
      <c r="Z117" s="176"/>
      <c r="AA117" s="176"/>
      <c r="AB117" s="176"/>
      <c r="AC117" s="176"/>
      <c r="AD117" s="176"/>
      <c r="AE117" s="176"/>
    </row>
    <row r="118" spans="1:31" ht="16.5">
      <c r="A118" s="4" t="s">
        <v>275</v>
      </c>
      <c r="B118" s="5" t="s">
        <v>85</v>
      </c>
      <c r="C118" s="43">
        <v>9856</v>
      </c>
      <c r="D118" s="54">
        <v>10800</v>
      </c>
      <c r="E118" s="54">
        <v>10961</v>
      </c>
      <c r="F118" s="91">
        <v>11114</v>
      </c>
      <c r="G118" s="91">
        <v>12157</v>
      </c>
      <c r="H118" s="298">
        <v>13381</v>
      </c>
      <c r="I118" s="298">
        <v>14568</v>
      </c>
      <c r="J118" s="298">
        <v>16537</v>
      </c>
      <c r="K118" s="298">
        <v>18072</v>
      </c>
      <c r="L118" s="298">
        <v>20194</v>
      </c>
      <c r="M118" s="298">
        <v>21680</v>
      </c>
      <c r="N118" s="298">
        <v>22534</v>
      </c>
      <c r="O118" s="298">
        <v>23196</v>
      </c>
      <c r="P118" s="970">
        <v>24189</v>
      </c>
      <c r="Q118" s="448"/>
      <c r="R118" s="427"/>
      <c r="S118" s="176"/>
      <c r="T118" s="601"/>
      <c r="U118" s="81"/>
      <c r="V118" s="81"/>
      <c r="W118" s="81"/>
      <c r="X118" s="226"/>
      <c r="Y118" s="227"/>
      <c r="Z118" s="227"/>
      <c r="AA118" s="228"/>
      <c r="AB118" s="228"/>
      <c r="AC118" s="176"/>
      <c r="AD118" s="176"/>
      <c r="AE118" s="176"/>
    </row>
    <row r="119" spans="1:31" ht="22.5">
      <c r="A119" s="4" t="s">
        <v>86</v>
      </c>
      <c r="B119" s="5" t="s">
        <v>87</v>
      </c>
      <c r="C119" s="55" t="s">
        <v>88</v>
      </c>
      <c r="D119" s="55" t="s">
        <v>88</v>
      </c>
      <c r="E119" s="55" t="s">
        <v>89</v>
      </c>
      <c r="F119" s="92">
        <v>0.102</v>
      </c>
      <c r="G119" s="92">
        <v>0.1</v>
      </c>
      <c r="H119" s="299">
        <v>0.093</v>
      </c>
      <c r="I119" s="299">
        <v>0.092</v>
      </c>
      <c r="J119" s="299">
        <v>0.085</v>
      </c>
      <c r="K119" s="299">
        <v>0.084</v>
      </c>
      <c r="L119" s="299">
        <v>0.083</v>
      </c>
      <c r="M119" s="299">
        <v>0.082</v>
      </c>
      <c r="N119" s="299">
        <v>0.082</v>
      </c>
      <c r="O119" s="299">
        <v>0.081</v>
      </c>
      <c r="P119" s="300">
        <v>0.08</v>
      </c>
      <c r="Q119" s="449"/>
      <c r="R119" s="427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</row>
    <row r="120" spans="1:31" ht="16.5" customHeight="1">
      <c r="A120" s="1273" t="s">
        <v>90</v>
      </c>
      <c r="B120" s="1309"/>
      <c r="C120" s="1309"/>
      <c r="D120" s="1309"/>
      <c r="E120" s="1309"/>
      <c r="F120" s="1309"/>
      <c r="G120" s="1309"/>
      <c r="H120" s="1309"/>
      <c r="I120" s="1309"/>
      <c r="J120" s="1309"/>
      <c r="K120" s="1309"/>
      <c r="L120" s="1309"/>
      <c r="M120" s="1309"/>
      <c r="N120" s="1309"/>
      <c r="O120" s="1309"/>
      <c r="P120" s="1310"/>
      <c r="Q120" s="425"/>
      <c r="R120" s="427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</row>
    <row r="121" spans="1:31" ht="16.5" customHeight="1">
      <c r="A121" s="1334" t="s">
        <v>91</v>
      </c>
      <c r="B121" s="1335"/>
      <c r="C121" s="1335"/>
      <c r="D121" s="1335"/>
      <c r="E121" s="1335"/>
      <c r="F121" s="1335"/>
      <c r="G121" s="1335"/>
      <c r="H121" s="1335"/>
      <c r="I121" s="1335"/>
      <c r="J121" s="1335"/>
      <c r="K121" s="1335"/>
      <c r="L121" s="1335"/>
      <c r="M121" s="1335"/>
      <c r="N121" s="1335"/>
      <c r="O121" s="1335"/>
      <c r="P121" s="1336"/>
      <c r="Q121" s="425"/>
      <c r="R121" s="427"/>
      <c r="S121" s="234"/>
      <c r="T121" s="234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31" ht="12.75">
      <c r="A122" s="931" t="s">
        <v>18</v>
      </c>
      <c r="B122" s="927" t="s">
        <v>23</v>
      </c>
      <c r="C122" s="940">
        <f>79.504+82.8167</f>
        <v>162.3207</v>
      </c>
      <c r="D122" s="940">
        <v>151.28</v>
      </c>
      <c r="E122" s="941">
        <f>(243825.2+121388.7)/1000</f>
        <v>365.2139</v>
      </c>
      <c r="F122" s="941">
        <f>187.012+156.599</f>
        <v>343.611</v>
      </c>
      <c r="G122" s="941">
        <f>158.23+144.15</f>
        <v>302.38</v>
      </c>
      <c r="H122" s="941">
        <v>285.8</v>
      </c>
      <c r="I122" s="941">
        <v>248.104</v>
      </c>
      <c r="J122" s="941">
        <v>237.579</v>
      </c>
      <c r="K122" s="941">
        <v>242.36</v>
      </c>
      <c r="L122" s="941">
        <v>250</v>
      </c>
      <c r="M122" s="941"/>
      <c r="N122" s="941">
        <f>L122*102.3%</f>
        <v>255.74999999999997</v>
      </c>
      <c r="O122" s="941">
        <f>N122*102.1%</f>
        <v>261.12074999999993</v>
      </c>
      <c r="P122" s="942">
        <f>O122*102.1%</f>
        <v>266.6042857499999</v>
      </c>
      <c r="Q122" s="434"/>
      <c r="R122" s="666"/>
      <c r="S122" s="176"/>
      <c r="T122" s="234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31" ht="22.5">
      <c r="A123" s="931"/>
      <c r="B123" s="927" t="s">
        <v>13</v>
      </c>
      <c r="C123" s="937"/>
      <c r="D123" s="937">
        <f>SUM(D122/C122*100)</f>
        <v>93.19821809541237</v>
      </c>
      <c r="E123" s="937">
        <f>SUM(E122/D122*100)</f>
        <v>241.41585140137494</v>
      </c>
      <c r="F123" s="937">
        <f>SUM(F122/E122*100)</f>
        <v>94.08486369220886</v>
      </c>
      <c r="G123" s="937">
        <f>SUM(G122/E122*100)</f>
        <v>82.79531529331166</v>
      </c>
      <c r="H123" s="937">
        <f>SUM(H122/F122*100)</f>
        <v>83.17545130976599</v>
      </c>
      <c r="I123" s="937">
        <f>SUM(I122/H122*100)</f>
        <v>86.81035689293212</v>
      </c>
      <c r="J123" s="937">
        <f>SUM(J122/I122*100)</f>
        <v>95.75782736271886</v>
      </c>
      <c r="K123" s="943">
        <f>SUM((K122/J122)*100)</f>
        <v>102.01238324936126</v>
      </c>
      <c r="L123" s="943">
        <f>SUM((L122/K122)*100)</f>
        <v>103.15233536887274</v>
      </c>
      <c r="M123" s="943"/>
      <c r="N123" s="943">
        <f>SUM((N122/L122)*100)</f>
        <v>102.3</v>
      </c>
      <c r="O123" s="937">
        <f>SUM(O122/N122*100)</f>
        <v>102.1</v>
      </c>
      <c r="P123" s="944">
        <f>SUM(P122/O122*100)</f>
        <v>102.1</v>
      </c>
      <c r="Q123" s="441"/>
      <c r="R123" s="426"/>
      <c r="S123" s="234"/>
      <c r="T123" s="234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31" ht="22.5">
      <c r="A124" s="945" t="s">
        <v>92</v>
      </c>
      <c r="B124" s="927" t="s">
        <v>93</v>
      </c>
      <c r="C124" s="946">
        <f>3.573+0.315</f>
        <v>3.888</v>
      </c>
      <c r="D124" s="946">
        <v>7.25</v>
      </c>
      <c r="E124" s="947">
        <f>(3791.9+474.9)/1000</f>
        <v>4.2668</v>
      </c>
      <c r="F124" s="947">
        <f>1.963+0.235</f>
        <v>2.198</v>
      </c>
      <c r="G124" s="947">
        <f>0.13+0.22</f>
        <v>0.35</v>
      </c>
      <c r="H124" s="947">
        <v>1E-05</v>
      </c>
      <c r="I124" s="947">
        <v>1E-05</v>
      </c>
      <c r="J124" s="947">
        <v>1E-05</v>
      </c>
      <c r="K124" s="947">
        <v>1E-05</v>
      </c>
      <c r="L124" s="947">
        <v>1E-05</v>
      </c>
      <c r="M124" s="947"/>
      <c r="N124" s="947">
        <v>1E-05</v>
      </c>
      <c r="O124" s="947">
        <v>1E-05</v>
      </c>
      <c r="P124" s="948">
        <v>1E-05</v>
      </c>
      <c r="Q124" s="430"/>
      <c r="R124" s="479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</row>
    <row r="125" spans="1:31" ht="22.5">
      <c r="A125" s="931"/>
      <c r="B125" s="927" t="s">
        <v>94</v>
      </c>
      <c r="C125" s="949"/>
      <c r="D125" s="949">
        <f>SUM(D124/C124*100)</f>
        <v>186.47119341563786</v>
      </c>
      <c r="E125" s="949">
        <f>SUM(E124/D124*100)</f>
        <v>58.852413793103445</v>
      </c>
      <c r="F125" s="949">
        <f>SUM(F124/E124*100)</f>
        <v>51.51401518702541</v>
      </c>
      <c r="G125" s="949">
        <f>SUM(G124/F124*100)</f>
        <v>15.92356687898089</v>
      </c>
      <c r="H125" s="949">
        <f>SUM(H124/G124*100)</f>
        <v>0.0028571428571428576</v>
      </c>
      <c r="I125" s="950">
        <v>0</v>
      </c>
      <c r="J125" s="950">
        <v>0</v>
      </c>
      <c r="K125" s="943">
        <v>0</v>
      </c>
      <c r="L125" s="943">
        <v>0</v>
      </c>
      <c r="M125" s="943"/>
      <c r="N125" s="943">
        <v>0</v>
      </c>
      <c r="O125" s="949">
        <v>0</v>
      </c>
      <c r="P125" s="951">
        <v>0</v>
      </c>
      <c r="Q125" s="431"/>
      <c r="R125" s="42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</row>
    <row r="126" spans="1:31" ht="12.75" customHeight="1">
      <c r="A126" s="1337" t="s">
        <v>95</v>
      </c>
      <c r="B126" s="1338"/>
      <c r="C126" s="1338"/>
      <c r="D126" s="1338"/>
      <c r="E126" s="1338"/>
      <c r="F126" s="1338"/>
      <c r="G126" s="1338"/>
      <c r="H126" s="1338"/>
      <c r="I126" s="1338"/>
      <c r="J126" s="1338"/>
      <c r="K126" s="1338"/>
      <c r="L126" s="1338"/>
      <c r="M126" s="1338"/>
      <c r="N126" s="1338"/>
      <c r="O126" s="1338"/>
      <c r="P126" s="1339"/>
      <c r="Q126" s="425"/>
      <c r="R126" s="42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</row>
    <row r="127" spans="1:31" ht="12.75">
      <c r="A127" s="931" t="s">
        <v>18</v>
      </c>
      <c r="B127" s="927" t="s">
        <v>23</v>
      </c>
      <c r="C127" s="934">
        <f aca="true" t="shared" si="19" ref="C127:P127">SUM(C130:C137)</f>
        <v>119.8248</v>
      </c>
      <c r="D127" s="934">
        <f t="shared" si="19"/>
        <v>184.19199999999998</v>
      </c>
      <c r="E127" s="934">
        <f>SUM(E130:E137)</f>
        <v>91.088</v>
      </c>
      <c r="F127" s="934">
        <f>SUM(F130:F137)</f>
        <v>98.17699999999999</v>
      </c>
      <c r="G127" s="935">
        <f t="shared" si="19"/>
        <v>114.391</v>
      </c>
      <c r="H127" s="935">
        <f t="shared" si="19"/>
        <v>170.34000000000003</v>
      </c>
      <c r="I127" s="935">
        <f>SUM(I130:I137)</f>
        <v>165.76000000000002</v>
      </c>
      <c r="J127" s="935">
        <f>SUM(J130:J137)</f>
        <v>128.88899999999998</v>
      </c>
      <c r="K127" s="935">
        <f>SUM(K130:K137)</f>
        <v>122.05733333333333</v>
      </c>
      <c r="L127" s="935">
        <f>SUM(L130:L137)</f>
        <v>128.5</v>
      </c>
      <c r="M127" s="935"/>
      <c r="N127" s="935">
        <f t="shared" si="19"/>
        <v>133.12600000000003</v>
      </c>
      <c r="O127" s="935">
        <f t="shared" si="19"/>
        <v>138.18478800000003</v>
      </c>
      <c r="P127" s="936">
        <f t="shared" si="19"/>
        <v>142.88307079199998</v>
      </c>
      <c r="Q127" s="444"/>
      <c r="R127" s="426"/>
      <c r="S127" s="183"/>
      <c r="T127" s="183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31" ht="22.5">
      <c r="A128" s="931"/>
      <c r="B128" s="927" t="s">
        <v>13</v>
      </c>
      <c r="C128" s="937"/>
      <c r="D128" s="937">
        <f aca="true" t="shared" si="20" ref="D128:J128">SUM(D127/C127*100)</f>
        <v>153.71776126477988</v>
      </c>
      <c r="E128" s="937">
        <f t="shared" si="20"/>
        <v>49.45274496177902</v>
      </c>
      <c r="F128" s="937">
        <f t="shared" si="20"/>
        <v>107.78258387493413</v>
      </c>
      <c r="G128" s="937">
        <f t="shared" si="20"/>
        <v>116.51506972101411</v>
      </c>
      <c r="H128" s="937">
        <f t="shared" si="20"/>
        <v>148.9103163710432</v>
      </c>
      <c r="I128" s="937">
        <f t="shared" si="20"/>
        <v>97.31125983327462</v>
      </c>
      <c r="J128" s="938">
        <f t="shared" si="20"/>
        <v>77.75639478764477</v>
      </c>
      <c r="K128" s="906">
        <f>SUM((K127/J127)*100)</f>
        <v>94.69957353485042</v>
      </c>
      <c r="L128" s="906">
        <f>SUM((L127/K127)*100)</f>
        <v>105.27839376030937</v>
      </c>
      <c r="M128" s="906"/>
      <c r="N128" s="906">
        <f>SUM((N127/L127)*100)</f>
        <v>103.60000000000002</v>
      </c>
      <c r="O128" s="938">
        <f>SUM(O127/N127*100)</f>
        <v>103.8</v>
      </c>
      <c r="P128" s="939">
        <f>SUM(P127/O127*100)</f>
        <v>103.39999999999996</v>
      </c>
      <c r="Q128" s="441"/>
      <c r="R128" s="426"/>
      <c r="S128" s="183"/>
      <c r="T128" s="183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</row>
    <row r="129" spans="1:31" ht="12.75">
      <c r="A129" s="1340" t="s">
        <v>96</v>
      </c>
      <c r="B129" s="1341"/>
      <c r="C129" s="1341"/>
      <c r="D129" s="1341"/>
      <c r="E129" s="1341"/>
      <c r="F129" s="1341"/>
      <c r="G129" s="1341"/>
      <c r="H129" s="1341"/>
      <c r="I129" s="1341"/>
      <c r="J129" s="1341"/>
      <c r="K129" s="1341"/>
      <c r="L129" s="1341"/>
      <c r="M129" s="1341"/>
      <c r="N129" s="1341"/>
      <c r="O129" s="1341"/>
      <c r="P129" s="1342"/>
      <c r="Q129" s="425"/>
      <c r="R129" s="426"/>
      <c r="S129" s="183"/>
      <c r="T129" s="183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20" ht="12.75">
      <c r="A130" s="932" t="s">
        <v>97</v>
      </c>
      <c r="B130" s="927" t="s">
        <v>98</v>
      </c>
      <c r="C130" s="934">
        <f>0.801+0.3488</f>
        <v>1.1498</v>
      </c>
      <c r="D130" s="934">
        <f>0.79</f>
        <v>0.79</v>
      </c>
      <c r="E130" s="934">
        <v>1.8</v>
      </c>
      <c r="F130" s="934">
        <v>0.709</v>
      </c>
      <c r="G130" s="934">
        <v>0.68</v>
      </c>
      <c r="H130" s="935">
        <v>4.51</v>
      </c>
      <c r="I130" s="935">
        <v>3.543</v>
      </c>
      <c r="J130" s="935">
        <v>5.73</v>
      </c>
      <c r="K130" s="935">
        <f>4.91/9*12</f>
        <v>6.546666666666667</v>
      </c>
      <c r="L130" s="935">
        <v>7</v>
      </c>
      <c r="M130" s="935"/>
      <c r="N130" s="935">
        <f>L130*103.6%</f>
        <v>7.252000000000001</v>
      </c>
      <c r="O130" s="935">
        <f>N130*103.8%</f>
        <v>7.527576000000001</v>
      </c>
      <c r="P130" s="936">
        <f>O130*103.4%</f>
        <v>7.783513584000001</v>
      </c>
      <c r="Q130" s="444"/>
      <c r="R130" s="426"/>
      <c r="S130" s="181"/>
      <c r="T130" s="181"/>
    </row>
    <row r="131" spans="1:20" ht="12.75">
      <c r="A131" s="932" t="s">
        <v>99</v>
      </c>
      <c r="B131" s="927" t="s">
        <v>98</v>
      </c>
      <c r="C131" s="934">
        <f>12.131+5.94</f>
        <v>18.071</v>
      </c>
      <c r="D131" s="934">
        <v>15.28</v>
      </c>
      <c r="E131" s="934">
        <v>13.3</v>
      </c>
      <c r="F131" s="934">
        <v>14.186</v>
      </c>
      <c r="G131" s="934">
        <v>16.4</v>
      </c>
      <c r="H131" s="935">
        <v>16.63</v>
      </c>
      <c r="I131" s="935">
        <v>20.701</v>
      </c>
      <c r="J131" s="935">
        <v>7.468</v>
      </c>
      <c r="K131" s="935">
        <v>8.5</v>
      </c>
      <c r="L131" s="935">
        <v>9</v>
      </c>
      <c r="M131" s="935"/>
      <c r="N131" s="935">
        <f aca="true" t="shared" si="21" ref="N131:N137">L131*103.6%</f>
        <v>9.324</v>
      </c>
      <c r="O131" s="935">
        <f aca="true" t="shared" si="22" ref="O131:O137">N131*103.8%</f>
        <v>9.678312</v>
      </c>
      <c r="P131" s="936">
        <f aca="true" t="shared" si="23" ref="P131:P137">O131*103.4%</f>
        <v>10.007374608000001</v>
      </c>
      <c r="Q131" s="444"/>
      <c r="R131" s="426"/>
      <c r="S131" s="181"/>
      <c r="T131" s="181"/>
    </row>
    <row r="132" spans="1:20" ht="12.75">
      <c r="A132" s="932" t="s">
        <v>100</v>
      </c>
      <c r="B132" s="927" t="s">
        <v>98</v>
      </c>
      <c r="C132" s="934">
        <f>17.866+3.525</f>
        <v>21.391</v>
      </c>
      <c r="D132" s="934">
        <v>78.1</v>
      </c>
      <c r="E132" s="934">
        <v>33</v>
      </c>
      <c r="F132" s="934">
        <v>27.247</v>
      </c>
      <c r="G132" s="934">
        <v>21.39</v>
      </c>
      <c r="H132" s="935">
        <v>62.5</v>
      </c>
      <c r="I132" s="935">
        <v>63.07</v>
      </c>
      <c r="J132" s="935">
        <v>76.281</v>
      </c>
      <c r="K132" s="935">
        <f>53.983/9*12</f>
        <v>71.97733333333333</v>
      </c>
      <c r="L132" s="935">
        <v>73</v>
      </c>
      <c r="M132" s="935"/>
      <c r="N132" s="935">
        <f t="shared" si="21"/>
        <v>75.628</v>
      </c>
      <c r="O132" s="935">
        <f t="shared" si="22"/>
        <v>78.501864</v>
      </c>
      <c r="P132" s="936">
        <f t="shared" si="23"/>
        <v>81.170927376</v>
      </c>
      <c r="Q132" s="444"/>
      <c r="R132" s="426"/>
      <c r="S132" s="181"/>
      <c r="T132" s="181"/>
    </row>
    <row r="133" spans="1:20" ht="12.75">
      <c r="A133" s="932" t="s">
        <v>101</v>
      </c>
      <c r="B133" s="927" t="s">
        <v>98</v>
      </c>
      <c r="C133" s="934">
        <f>53.471+17.115</f>
        <v>70.586</v>
      </c>
      <c r="D133" s="934">
        <v>81.53</v>
      </c>
      <c r="E133" s="934">
        <v>30.3</v>
      </c>
      <c r="F133" s="934">
        <v>37.872</v>
      </c>
      <c r="G133" s="934">
        <v>54.68</v>
      </c>
      <c r="H133" s="935">
        <v>67.65</v>
      </c>
      <c r="I133" s="935">
        <v>65.678</v>
      </c>
      <c r="J133" s="935">
        <v>1.642</v>
      </c>
      <c r="K133" s="935">
        <f>1.987/9*12</f>
        <v>2.6493333333333338</v>
      </c>
      <c r="L133" s="935">
        <v>3</v>
      </c>
      <c r="M133" s="935"/>
      <c r="N133" s="935">
        <f t="shared" si="21"/>
        <v>3.108</v>
      </c>
      <c r="O133" s="935">
        <f t="shared" si="22"/>
        <v>3.2261040000000003</v>
      </c>
      <c r="P133" s="936">
        <f t="shared" si="23"/>
        <v>3.3357915360000003</v>
      </c>
      <c r="Q133" s="444"/>
      <c r="R133" s="426"/>
      <c r="S133" s="181"/>
      <c r="T133" s="181"/>
    </row>
    <row r="134" spans="1:20" ht="12.75">
      <c r="A134" s="932" t="s">
        <v>102</v>
      </c>
      <c r="B134" s="927" t="s">
        <v>98</v>
      </c>
      <c r="C134" s="934">
        <f>0.161+0.7181</f>
        <v>0.8791</v>
      </c>
      <c r="D134" s="934">
        <v>1.11</v>
      </c>
      <c r="E134" s="934">
        <f>0.789+0.844</f>
        <v>1.633</v>
      </c>
      <c r="F134" s="934">
        <v>0.868</v>
      </c>
      <c r="G134" s="934">
        <v>1.14</v>
      </c>
      <c r="H134" s="935">
        <v>0.9</v>
      </c>
      <c r="I134" s="935">
        <f>0.845+0.624</f>
        <v>1.4689999999999999</v>
      </c>
      <c r="J134" s="935">
        <f>1.053+2.276</f>
        <v>3.3289999999999997</v>
      </c>
      <c r="K134" s="935">
        <f>1.442/9*12+0.846/9*12</f>
        <v>3.0506666666666664</v>
      </c>
      <c r="L134" s="935">
        <v>3.5</v>
      </c>
      <c r="M134" s="935"/>
      <c r="N134" s="935">
        <f t="shared" si="21"/>
        <v>3.6260000000000003</v>
      </c>
      <c r="O134" s="935">
        <f t="shared" si="22"/>
        <v>3.7637880000000004</v>
      </c>
      <c r="P134" s="936">
        <f t="shared" si="23"/>
        <v>3.8917567920000007</v>
      </c>
      <c r="Q134" s="444"/>
      <c r="R134" s="426"/>
      <c r="S134" s="181"/>
      <c r="T134" s="181"/>
    </row>
    <row r="135" spans="1:20" ht="12.75">
      <c r="A135" s="932" t="s">
        <v>103</v>
      </c>
      <c r="B135" s="927" t="s">
        <v>98</v>
      </c>
      <c r="C135" s="934">
        <f>0.7703+3.7455</f>
        <v>4.5158</v>
      </c>
      <c r="D135" s="934">
        <v>4.69</v>
      </c>
      <c r="E135" s="934">
        <f>5.8+0.955</f>
        <v>6.755</v>
      </c>
      <c r="F135" s="934">
        <f>6.549+1.053</f>
        <v>7.602</v>
      </c>
      <c r="G135" s="934">
        <f>1.053+10.218</f>
        <v>11.271</v>
      </c>
      <c r="H135" s="935">
        <v>8.84</v>
      </c>
      <c r="I135" s="935">
        <v>3.717</v>
      </c>
      <c r="J135" s="935">
        <v>6.475</v>
      </c>
      <c r="K135" s="935">
        <f>10.314/9*12</f>
        <v>13.751999999999999</v>
      </c>
      <c r="L135" s="935">
        <v>15</v>
      </c>
      <c r="M135" s="935"/>
      <c r="N135" s="935">
        <f t="shared" si="21"/>
        <v>15.540000000000001</v>
      </c>
      <c r="O135" s="935">
        <f t="shared" si="22"/>
        <v>16.13052</v>
      </c>
      <c r="P135" s="936">
        <f t="shared" si="23"/>
        <v>16.67895768</v>
      </c>
      <c r="Q135" s="444"/>
      <c r="R135" s="426"/>
      <c r="S135" s="181"/>
      <c r="T135" s="181"/>
    </row>
    <row r="136" spans="1:20" ht="12.75">
      <c r="A136" s="932" t="s">
        <v>104</v>
      </c>
      <c r="B136" s="927" t="s">
        <v>98</v>
      </c>
      <c r="C136" s="934">
        <v>1.659</v>
      </c>
      <c r="D136" s="934">
        <v>2.302</v>
      </c>
      <c r="E136" s="934">
        <v>3.6</v>
      </c>
      <c r="F136" s="934">
        <v>3.595</v>
      </c>
      <c r="G136" s="934">
        <v>6.48</v>
      </c>
      <c r="H136" s="935">
        <v>7.2</v>
      </c>
      <c r="I136" s="935">
        <v>6.216</v>
      </c>
      <c r="J136" s="935">
        <v>27.769</v>
      </c>
      <c r="K136" s="935">
        <f>11.086/9*12</f>
        <v>14.781333333333334</v>
      </c>
      <c r="L136" s="935">
        <v>16</v>
      </c>
      <c r="M136" s="935"/>
      <c r="N136" s="935">
        <f t="shared" si="21"/>
        <v>16.576</v>
      </c>
      <c r="O136" s="935">
        <f t="shared" si="22"/>
        <v>17.205888</v>
      </c>
      <c r="P136" s="936">
        <f t="shared" si="23"/>
        <v>17.790888192</v>
      </c>
      <c r="Q136" s="444"/>
      <c r="R136" s="426"/>
      <c r="S136" s="181"/>
      <c r="T136" s="181"/>
    </row>
    <row r="137" spans="1:20" ht="12.75">
      <c r="A137" s="932" t="s">
        <v>105</v>
      </c>
      <c r="B137" s="927" t="s">
        <v>98</v>
      </c>
      <c r="C137" s="934">
        <f>0.0988+0.4109+1.0634</f>
        <v>1.5731</v>
      </c>
      <c r="D137" s="934">
        <v>0.39</v>
      </c>
      <c r="E137" s="934">
        <v>0.7</v>
      </c>
      <c r="F137" s="934">
        <f>0.575+0.943+4.58</f>
        <v>6.098</v>
      </c>
      <c r="G137" s="934">
        <f>0.65+1.7</f>
        <v>2.35</v>
      </c>
      <c r="H137" s="935">
        <f>1.3+0.81</f>
        <v>2.1100000000000003</v>
      </c>
      <c r="I137" s="935">
        <v>1.366</v>
      </c>
      <c r="J137" s="935">
        <v>0.195</v>
      </c>
      <c r="K137" s="935">
        <v>0.8</v>
      </c>
      <c r="L137" s="935">
        <v>2</v>
      </c>
      <c r="M137" s="935"/>
      <c r="N137" s="935">
        <f t="shared" si="21"/>
        <v>2.072</v>
      </c>
      <c r="O137" s="935">
        <f t="shared" si="22"/>
        <v>2.150736</v>
      </c>
      <c r="P137" s="936">
        <f t="shared" si="23"/>
        <v>2.223861024</v>
      </c>
      <c r="Q137" s="444"/>
      <c r="R137" s="426"/>
      <c r="S137" s="181"/>
      <c r="T137" s="181"/>
    </row>
    <row r="138" spans="1:18" ht="12.75">
      <c r="A138" s="51" t="s">
        <v>106</v>
      </c>
      <c r="B138" s="5" t="s">
        <v>98</v>
      </c>
      <c r="C138" s="49">
        <f>SUM(C141:C143)</f>
        <v>26.354</v>
      </c>
      <c r="D138" s="49">
        <f>SUM(D141:D143)</f>
        <v>45.53399999999999</v>
      </c>
      <c r="E138" s="49">
        <f aca="true" t="shared" si="24" ref="E138:P138">SUM(E141:E144)</f>
        <v>85.76485</v>
      </c>
      <c r="F138" s="49">
        <f t="shared" si="24"/>
        <v>88.322</v>
      </c>
      <c r="G138" s="49">
        <f t="shared" si="24"/>
        <v>84.874</v>
      </c>
      <c r="H138" s="49">
        <f t="shared" si="24"/>
        <v>88.275</v>
      </c>
      <c r="I138" s="49">
        <f>SUM(I141:I144)</f>
        <v>91.069</v>
      </c>
      <c r="J138" s="49">
        <f t="shared" si="24"/>
        <v>117.32300000000001</v>
      </c>
      <c r="K138" s="49">
        <f t="shared" si="24"/>
        <v>131.10000000000002</v>
      </c>
      <c r="L138" s="49">
        <f>SUM(L141:L144)</f>
        <v>139.91000000000003</v>
      </c>
      <c r="M138" s="49">
        <f>SUM(M141:M144)</f>
        <v>158.724</v>
      </c>
      <c r="N138" s="49">
        <f t="shared" si="24"/>
        <v>126.244</v>
      </c>
      <c r="O138" s="49">
        <f t="shared" si="24"/>
        <v>129.244</v>
      </c>
      <c r="P138" s="89">
        <f t="shared" si="24"/>
        <v>132.444</v>
      </c>
      <c r="Q138" s="444"/>
      <c r="R138" s="426"/>
    </row>
    <row r="139" spans="1:18" ht="15" customHeight="1">
      <c r="A139" s="4"/>
      <c r="B139" s="5" t="s">
        <v>107</v>
      </c>
      <c r="C139" s="57"/>
      <c r="D139" s="34">
        <f aca="true" t="shared" si="25" ref="D139:J139">SUM(D138/C138*100)</f>
        <v>172.77832587083552</v>
      </c>
      <c r="E139" s="34">
        <f t="shared" si="25"/>
        <v>188.35342820749332</v>
      </c>
      <c r="F139" s="34">
        <f t="shared" si="25"/>
        <v>102.98158278129095</v>
      </c>
      <c r="G139" s="34">
        <f t="shared" si="25"/>
        <v>96.09610289622064</v>
      </c>
      <c r="H139" s="237">
        <f t="shared" si="25"/>
        <v>104.00711643141601</v>
      </c>
      <c r="I139" s="237">
        <f t="shared" si="25"/>
        <v>103.1651090342679</v>
      </c>
      <c r="J139" s="237">
        <f t="shared" si="25"/>
        <v>128.828690333703</v>
      </c>
      <c r="K139" s="17">
        <f>SUM((K138/J138)*100)</f>
        <v>111.74279553028819</v>
      </c>
      <c r="L139" s="17">
        <f>SUM((L138/K138)*100)</f>
        <v>106.72006102212053</v>
      </c>
      <c r="M139" s="17">
        <f>SUM((M138/L138)*100)</f>
        <v>113.44721606747193</v>
      </c>
      <c r="N139" s="17">
        <f>SUM((N138/K138)*100)</f>
        <v>96.29595728451562</v>
      </c>
      <c r="O139" s="237">
        <f>SUM(O138/N138*100)</f>
        <v>102.37635055923451</v>
      </c>
      <c r="P139" s="971">
        <f>SUM(P138/O138*100)</f>
        <v>102.47593698740367</v>
      </c>
      <c r="Q139" s="441"/>
      <c r="R139" s="426"/>
    </row>
    <row r="140" spans="1:24" ht="12" customHeight="1">
      <c r="A140" s="1343" t="s">
        <v>108</v>
      </c>
      <c r="B140" s="1344"/>
      <c r="C140" s="1344"/>
      <c r="D140" s="1344"/>
      <c r="E140" s="1344"/>
      <c r="F140" s="1344"/>
      <c r="G140" s="1344"/>
      <c r="H140" s="1344"/>
      <c r="I140" s="1344"/>
      <c r="J140" s="1344"/>
      <c r="K140" s="1344"/>
      <c r="L140" s="1344"/>
      <c r="M140" s="1344"/>
      <c r="N140" s="1345"/>
      <c r="O140" s="1345"/>
      <c r="P140" s="1310"/>
      <c r="Q140" s="425"/>
      <c r="R140" s="426"/>
      <c r="T140" s="176"/>
      <c r="U140" s="176"/>
      <c r="V140" s="176"/>
      <c r="W140" s="176"/>
      <c r="X140" s="176"/>
    </row>
    <row r="141" spans="1:24" ht="12.75">
      <c r="A141" s="4" t="s">
        <v>109</v>
      </c>
      <c r="B141" s="5" t="s">
        <v>98</v>
      </c>
      <c r="C141" s="28">
        <f>3.347+6.669+5.35</f>
        <v>15.366</v>
      </c>
      <c r="D141" s="28">
        <f>D178*140/1000</f>
        <v>32.242</v>
      </c>
      <c r="E141" s="28">
        <f>E178*150/1000</f>
        <v>61.40085</v>
      </c>
      <c r="F141" s="28">
        <f aca="true" t="shared" si="26" ref="F141:P141">F34+F36</f>
        <v>67.366</v>
      </c>
      <c r="G141" s="28">
        <f t="shared" si="26"/>
        <v>63.43900000000001</v>
      </c>
      <c r="H141" s="28">
        <f t="shared" si="26"/>
        <v>67.53999999999999</v>
      </c>
      <c r="I141" s="28">
        <f t="shared" si="26"/>
        <v>69.909</v>
      </c>
      <c r="J141" s="28">
        <f t="shared" si="26"/>
        <v>91.41300000000001</v>
      </c>
      <c r="K141" s="28">
        <f>K34+K36</f>
        <v>102.4</v>
      </c>
      <c r="L141" s="28">
        <f>L34+L36</f>
        <v>112.81</v>
      </c>
      <c r="M141" s="28">
        <f>M34+M36</f>
        <v>129.024</v>
      </c>
      <c r="N141" s="28">
        <f t="shared" si="26"/>
        <v>93.544</v>
      </c>
      <c r="O141" s="28">
        <f t="shared" si="26"/>
        <v>93.544</v>
      </c>
      <c r="P141" s="972">
        <f t="shared" si="26"/>
        <v>93.544</v>
      </c>
      <c r="Q141" s="430"/>
      <c r="R141" s="426"/>
      <c r="T141" s="176"/>
      <c r="U141" s="176"/>
      <c r="V141" s="176"/>
      <c r="W141" s="176"/>
      <c r="X141" s="176"/>
    </row>
    <row r="142" spans="1:24" ht="12.75">
      <c r="A142" s="4" t="s">
        <v>110</v>
      </c>
      <c r="B142" s="5" t="s">
        <v>98</v>
      </c>
      <c r="C142" s="49">
        <f>7.989+2.06</f>
        <v>10.049</v>
      </c>
      <c r="D142" s="58">
        <v>12.492</v>
      </c>
      <c r="E142" s="58">
        <f>10.5+3.3</f>
        <v>13.8</v>
      </c>
      <c r="F142" s="58">
        <v>11.83</v>
      </c>
      <c r="G142" s="58">
        <f aca="true" t="shared" si="27" ref="G142:P142">G21-G144</f>
        <v>12.799999999999997</v>
      </c>
      <c r="H142" s="58">
        <f t="shared" si="27"/>
        <v>12.43</v>
      </c>
      <c r="I142" s="58">
        <f t="shared" si="27"/>
        <v>11.559999999999999</v>
      </c>
      <c r="J142" s="58">
        <f t="shared" si="27"/>
        <v>15.809999999999999</v>
      </c>
      <c r="K142" s="58">
        <f t="shared" si="27"/>
        <v>17.7</v>
      </c>
      <c r="L142" s="58">
        <f t="shared" si="27"/>
        <v>17.8</v>
      </c>
      <c r="M142" s="58">
        <f t="shared" si="27"/>
        <v>20</v>
      </c>
      <c r="N142" s="58">
        <f t="shared" si="27"/>
        <v>22.000000000000004</v>
      </c>
      <c r="O142" s="58">
        <f t="shared" si="27"/>
        <v>24.000000000000004</v>
      </c>
      <c r="P142" s="973">
        <f t="shared" si="27"/>
        <v>26.2</v>
      </c>
      <c r="Q142" s="444"/>
      <c r="R142" s="426"/>
      <c r="S142" s="181"/>
      <c r="T142" s="480"/>
      <c r="U142" s="83"/>
      <c r="V142" s="84"/>
      <c r="W142" s="84"/>
      <c r="X142" s="84"/>
    </row>
    <row r="143" spans="1:24" ht="12.75">
      <c r="A143" s="4" t="s">
        <v>111</v>
      </c>
      <c r="B143" s="5" t="s">
        <v>98</v>
      </c>
      <c r="C143" s="49">
        <f>0.869+0.07</f>
        <v>0.9390000000000001</v>
      </c>
      <c r="D143" s="58">
        <v>0.8</v>
      </c>
      <c r="E143" s="58">
        <v>4.464</v>
      </c>
      <c r="F143" s="58">
        <f aca="true" t="shared" si="28" ref="F143:P143">F39</f>
        <v>0.126</v>
      </c>
      <c r="G143" s="58">
        <f>G39</f>
        <v>0.835</v>
      </c>
      <c r="H143" s="58">
        <f>H39</f>
        <v>1.305</v>
      </c>
      <c r="I143" s="58">
        <f>I39</f>
        <v>1.1</v>
      </c>
      <c r="J143" s="58">
        <f t="shared" si="28"/>
        <v>1.3</v>
      </c>
      <c r="K143" s="58">
        <f>K39</f>
        <v>1.2</v>
      </c>
      <c r="L143" s="914">
        <f>L39</f>
        <v>0</v>
      </c>
      <c r="M143" s="914">
        <f>M39</f>
        <v>0</v>
      </c>
      <c r="N143" s="914">
        <f t="shared" si="28"/>
        <v>0</v>
      </c>
      <c r="O143" s="914">
        <f t="shared" si="28"/>
        <v>0</v>
      </c>
      <c r="P143" s="915">
        <f t="shared" si="28"/>
        <v>0</v>
      </c>
      <c r="Q143" s="444"/>
      <c r="R143" s="426"/>
      <c r="S143" s="181"/>
      <c r="T143" s="183"/>
      <c r="U143" s="176"/>
      <c r="V143" s="176"/>
      <c r="W143" s="176"/>
      <c r="X143" s="176"/>
    </row>
    <row r="144" spans="1:24" ht="12.75">
      <c r="A144" s="4" t="s">
        <v>112</v>
      </c>
      <c r="B144" s="5" t="s">
        <v>98</v>
      </c>
      <c r="C144" s="49">
        <v>0</v>
      </c>
      <c r="D144" s="58">
        <v>0.44</v>
      </c>
      <c r="E144" s="58">
        <v>6.1</v>
      </c>
      <c r="F144" s="58">
        <v>9</v>
      </c>
      <c r="G144" s="58">
        <v>7.8</v>
      </c>
      <c r="H144" s="58">
        <v>7</v>
      </c>
      <c r="I144" s="58">
        <v>8.5</v>
      </c>
      <c r="J144" s="58">
        <v>8.8</v>
      </c>
      <c r="K144" s="58">
        <v>9.8</v>
      </c>
      <c r="L144" s="58">
        <v>9.3</v>
      </c>
      <c r="M144" s="58">
        <v>9.7</v>
      </c>
      <c r="N144" s="58">
        <v>10.7</v>
      </c>
      <c r="O144" s="58">
        <v>11.7</v>
      </c>
      <c r="P144" s="973">
        <v>12.7</v>
      </c>
      <c r="Q144" s="444"/>
      <c r="R144" s="426"/>
      <c r="S144" s="181"/>
      <c r="T144" s="183"/>
      <c r="U144" s="176"/>
      <c r="V144" s="176"/>
      <c r="W144" s="176"/>
      <c r="X144" s="176"/>
    </row>
    <row r="145" spans="1:24" ht="15.75">
      <c r="A145" s="1273" t="s">
        <v>113</v>
      </c>
      <c r="B145" s="1299"/>
      <c r="C145" s="1309"/>
      <c r="D145" s="1309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9"/>
      <c r="P145" s="1310"/>
      <c r="Q145" s="425"/>
      <c r="R145" s="426"/>
      <c r="S145" s="181"/>
      <c r="T145" s="183"/>
      <c r="U145" s="176"/>
      <c r="V145" s="176"/>
      <c r="W145" s="176"/>
      <c r="X145" s="176"/>
    </row>
    <row r="146" spans="1:24" ht="12.75" customHeight="1">
      <c r="A146" s="4" t="s">
        <v>114</v>
      </c>
      <c r="B146" s="5" t="s">
        <v>115</v>
      </c>
      <c r="C146" s="48" t="s">
        <v>43</v>
      </c>
      <c r="D146" s="48">
        <v>0</v>
      </c>
      <c r="E146" s="47" t="s">
        <v>116</v>
      </c>
      <c r="F146" s="47" t="s">
        <v>116</v>
      </c>
      <c r="G146" s="47" t="s">
        <v>247</v>
      </c>
      <c r="H146" s="47" t="s">
        <v>116</v>
      </c>
      <c r="I146" s="47" t="s">
        <v>356</v>
      </c>
      <c r="J146" s="47" t="s">
        <v>116</v>
      </c>
      <c r="K146" s="47" t="s">
        <v>116</v>
      </c>
      <c r="L146" s="47" t="s">
        <v>491</v>
      </c>
      <c r="M146" s="94">
        <v>1153.5</v>
      </c>
      <c r="N146" s="94">
        <v>4302.6</v>
      </c>
      <c r="O146" s="94">
        <v>0</v>
      </c>
      <c r="P146" s="127">
        <v>0</v>
      </c>
      <c r="Q146" s="477"/>
      <c r="R146" s="426"/>
      <c r="S146" s="181"/>
      <c r="T146" s="183"/>
      <c r="U146" s="183"/>
      <c r="V146" s="183"/>
      <c r="W146" s="176"/>
      <c r="X146" s="176"/>
    </row>
    <row r="147" spans="1:24" ht="22.5">
      <c r="A147" s="4" t="s">
        <v>117</v>
      </c>
      <c r="B147" s="5" t="s">
        <v>118</v>
      </c>
      <c r="C147" s="56">
        <v>28.35</v>
      </c>
      <c r="D147" s="56">
        <v>25.26</v>
      </c>
      <c r="E147" s="56">
        <f>(111299.91+31700.9)/E7/1000</f>
        <v>27.0988838355126</v>
      </c>
      <c r="F147" s="56">
        <f>134885.49/F7/1000</f>
        <v>25.202819506726453</v>
      </c>
      <c r="G147" s="56">
        <f>(133855.39+G146)/G7/1000</f>
        <v>26.107350709978608</v>
      </c>
      <c r="H147" s="240">
        <f>(131831.6+H146)/H7/1000</f>
        <v>25.366865499326533</v>
      </c>
      <c r="I147" s="240">
        <f>(123135.42+I146)/I7/1000</f>
        <v>24.201721983600155</v>
      </c>
      <c r="J147" s="240">
        <f>(131831.6+J146)/J7/1000</f>
        <v>27.38504362276693</v>
      </c>
      <c r="K147" s="240">
        <f>(127340.82+K146)/K7/1000</f>
        <v>27.139987212276214</v>
      </c>
      <c r="L147" s="240">
        <f>(128169.94+L146)/L7/1000</f>
        <v>27.249484579636672</v>
      </c>
      <c r="M147" s="240">
        <f>(129323.44+M146)/M7/1000</f>
        <v>27.46882947368421</v>
      </c>
      <c r="N147" s="240">
        <f>(133626.04+N146)/N7/1000</f>
        <v>28.735133333333337</v>
      </c>
      <c r="O147" s="240">
        <f>(133626.04+O146)/O7/1000</f>
        <v>27.55176082474227</v>
      </c>
      <c r="P147" s="974">
        <f>(133626.04+P146)/P7/1000</f>
        <v>27.270620408163264</v>
      </c>
      <c r="Q147" s="430"/>
      <c r="R147" s="428"/>
      <c r="S147" s="181"/>
      <c r="T147" s="183"/>
      <c r="U147" s="183"/>
      <c r="V147" s="183"/>
      <c r="W147" s="176"/>
      <c r="X147" s="176"/>
    </row>
    <row r="148" spans="1:24" ht="22.5">
      <c r="A148" s="4" t="s">
        <v>119</v>
      </c>
      <c r="B148" s="5" t="s">
        <v>23</v>
      </c>
      <c r="C148" s="47" t="s">
        <v>120</v>
      </c>
      <c r="D148" s="47" t="s">
        <v>121</v>
      </c>
      <c r="E148" s="56">
        <v>590.7679</v>
      </c>
      <c r="F148" s="56">
        <v>616.6904</v>
      </c>
      <c r="G148" s="49">
        <f>E148*105.9%</f>
        <v>625.6232061000002</v>
      </c>
      <c r="H148" s="301">
        <f>732.03/1.18</f>
        <v>620.3644067796611</v>
      </c>
      <c r="I148" s="301">
        <v>606.252</v>
      </c>
      <c r="J148" s="301">
        <v>504.87</v>
      </c>
      <c r="K148" s="301">
        <v>519.54</v>
      </c>
      <c r="L148" s="301">
        <v>535.21</v>
      </c>
      <c r="M148" s="301">
        <v>451</v>
      </c>
      <c r="N148" s="301">
        <v>465</v>
      </c>
      <c r="O148" s="301">
        <v>480</v>
      </c>
      <c r="P148" s="975">
        <v>495</v>
      </c>
      <c r="Q148" s="444"/>
      <c r="R148" s="426"/>
      <c r="S148" s="181"/>
      <c r="T148" s="183"/>
      <c r="U148" s="176"/>
      <c r="V148" s="176"/>
      <c r="W148" s="176"/>
      <c r="X148" s="176"/>
    </row>
    <row r="149" spans="1:20" ht="14.25" customHeight="1">
      <c r="A149" s="4" t="s">
        <v>122</v>
      </c>
      <c r="B149" s="5" t="s">
        <v>87</v>
      </c>
      <c r="C149" s="55" t="s">
        <v>123</v>
      </c>
      <c r="D149" s="55" t="s">
        <v>124</v>
      </c>
      <c r="E149" s="55" t="s">
        <v>125</v>
      </c>
      <c r="F149" s="55" t="s">
        <v>186</v>
      </c>
      <c r="G149" s="55" t="s">
        <v>187</v>
      </c>
      <c r="H149" s="302">
        <v>0.29</v>
      </c>
      <c r="I149" s="302">
        <v>0.24</v>
      </c>
      <c r="J149" s="302">
        <v>0.9167</v>
      </c>
      <c r="K149" s="302">
        <v>0.976</v>
      </c>
      <c r="L149" s="302">
        <v>0.8748</v>
      </c>
      <c r="M149" s="302">
        <v>0.95</v>
      </c>
      <c r="N149" s="302">
        <v>0.98</v>
      </c>
      <c r="O149" s="302">
        <v>0.98</v>
      </c>
      <c r="P149" s="976">
        <v>0.98</v>
      </c>
      <c r="Q149" s="450"/>
      <c r="R149" s="429"/>
      <c r="S149" s="181"/>
      <c r="T149" s="181"/>
    </row>
    <row r="150" spans="1:21" ht="15" customHeight="1">
      <c r="A150" s="4" t="s">
        <v>126</v>
      </c>
      <c r="B150" s="5" t="s">
        <v>52</v>
      </c>
      <c r="C150" s="47" t="s">
        <v>127</v>
      </c>
      <c r="D150" s="47" t="s">
        <v>128</v>
      </c>
      <c r="E150" s="56">
        <f>172+405+49+219+21+101+33+39+199</f>
        <v>1238</v>
      </c>
      <c r="F150" s="56">
        <v>1212</v>
      </c>
      <c r="G150" s="94">
        <f>189+390+537</f>
        <v>1116</v>
      </c>
      <c r="H150" s="94">
        <f>202+506+53+419</f>
        <v>1180</v>
      </c>
      <c r="I150" s="94">
        <f>198+412+483</f>
        <v>1093</v>
      </c>
      <c r="J150" s="94">
        <f>192+361+460</f>
        <v>1013</v>
      </c>
      <c r="K150" s="94">
        <f>195+842</f>
        <v>1037</v>
      </c>
      <c r="L150" s="94">
        <f>200+851</f>
        <v>1051</v>
      </c>
      <c r="M150" s="94">
        <f>186+852</f>
        <v>1038</v>
      </c>
      <c r="N150" s="94">
        <f>200+866</f>
        <v>1066</v>
      </c>
      <c r="O150" s="94">
        <v>1066</v>
      </c>
      <c r="P150" s="127">
        <v>1066</v>
      </c>
      <c r="Q150" s="447"/>
      <c r="R150" s="426"/>
      <c r="S150" s="181"/>
      <c r="T150" s="181"/>
      <c r="U150" s="233"/>
    </row>
    <row r="151" spans="1:20" ht="15.75" customHeight="1" hidden="1">
      <c r="A151" s="4"/>
      <c r="B151" s="5"/>
      <c r="C151" s="47"/>
      <c r="D151" s="47"/>
      <c r="E151" s="77" t="s">
        <v>129</v>
      </c>
      <c r="F151" s="77" t="s">
        <v>129</v>
      </c>
      <c r="G151" s="77"/>
      <c r="H151" s="77"/>
      <c r="I151" s="47" t="s">
        <v>129</v>
      </c>
      <c r="J151" s="47" t="s">
        <v>129</v>
      </c>
      <c r="K151" s="47"/>
      <c r="L151" s="47"/>
      <c r="M151" s="47"/>
      <c r="N151" s="47" t="s">
        <v>130</v>
      </c>
      <c r="O151" s="47" t="s">
        <v>131</v>
      </c>
      <c r="P151" s="59" t="s">
        <v>131</v>
      </c>
      <c r="Q151" s="451"/>
      <c r="R151" s="426"/>
      <c r="S151" s="181"/>
      <c r="T151" s="181"/>
    </row>
    <row r="152" spans="1:21" ht="15.75" customHeight="1">
      <c r="A152" s="4" t="s">
        <v>205</v>
      </c>
      <c r="B152" s="5" t="s">
        <v>52</v>
      </c>
      <c r="C152" s="47"/>
      <c r="D152" s="47"/>
      <c r="E152" s="47"/>
      <c r="F152" s="47"/>
      <c r="G152" s="47"/>
      <c r="H152" s="47" t="s">
        <v>274</v>
      </c>
      <c r="I152" s="47" t="s">
        <v>354</v>
      </c>
      <c r="J152" s="47" t="s">
        <v>379</v>
      </c>
      <c r="K152" s="47" t="s">
        <v>383</v>
      </c>
      <c r="L152" s="47" t="s">
        <v>474</v>
      </c>
      <c r="M152" s="47" t="s">
        <v>475</v>
      </c>
      <c r="N152" s="47" t="s">
        <v>355</v>
      </c>
      <c r="O152" s="47" t="s">
        <v>355</v>
      </c>
      <c r="P152" s="59" t="s">
        <v>355</v>
      </c>
      <c r="Q152" s="451"/>
      <c r="R152" s="426"/>
      <c r="S152" s="181"/>
      <c r="T152" s="181"/>
      <c r="U152" s="233"/>
    </row>
    <row r="153" spans="1:20" ht="13.5" customHeight="1" hidden="1">
      <c r="A153" s="4" t="s">
        <v>132</v>
      </c>
      <c r="B153" s="5" t="s">
        <v>52</v>
      </c>
      <c r="C153" s="47" t="s">
        <v>133</v>
      </c>
      <c r="D153" s="47" t="s">
        <v>134</v>
      </c>
      <c r="E153" s="47" t="s">
        <v>183</v>
      </c>
      <c r="F153" s="47" t="s">
        <v>188</v>
      </c>
      <c r="G153" s="47" t="s">
        <v>204</v>
      </c>
      <c r="H153" s="47"/>
      <c r="I153" s="47"/>
      <c r="J153" s="47" t="s">
        <v>116</v>
      </c>
      <c r="K153" s="47"/>
      <c r="L153" s="47"/>
      <c r="M153" s="47"/>
      <c r="N153" s="47" t="s">
        <v>116</v>
      </c>
      <c r="O153" s="47" t="s">
        <v>116</v>
      </c>
      <c r="P153" s="59" t="s">
        <v>116</v>
      </c>
      <c r="Q153" s="451"/>
      <c r="R153" s="426"/>
      <c r="S153" s="181"/>
      <c r="T153" s="181"/>
    </row>
    <row r="154" spans="1:20" ht="13.5">
      <c r="A154" s="1313" t="s">
        <v>135</v>
      </c>
      <c r="B154" s="1346"/>
      <c r="C154" s="1346"/>
      <c r="D154" s="1346"/>
      <c r="E154" s="1346"/>
      <c r="F154" s="1346"/>
      <c r="G154" s="1346"/>
      <c r="H154" s="1346"/>
      <c r="I154" s="1346"/>
      <c r="J154" s="1346"/>
      <c r="K154" s="1346"/>
      <c r="L154" s="1346"/>
      <c r="M154" s="1346"/>
      <c r="N154" s="1346"/>
      <c r="O154" s="1346"/>
      <c r="P154" s="1347"/>
      <c r="Q154" s="446"/>
      <c r="R154" s="426"/>
      <c r="S154" s="481"/>
      <c r="T154" s="181"/>
    </row>
    <row r="155" spans="1:20" ht="22.5">
      <c r="A155" s="4" t="s">
        <v>136</v>
      </c>
      <c r="B155" s="5" t="s">
        <v>137</v>
      </c>
      <c r="C155" s="44">
        <v>22.5</v>
      </c>
      <c r="D155" s="44">
        <v>11</v>
      </c>
      <c r="E155" s="44">
        <v>11</v>
      </c>
      <c r="F155" s="44">
        <f>62/F7</f>
        <v>11.584454409566517</v>
      </c>
      <c r="G155" s="44">
        <f>62/G7</f>
        <v>12.059910523244504</v>
      </c>
      <c r="H155" s="235">
        <f>62/H7</f>
        <v>11.929959592072349</v>
      </c>
      <c r="I155" s="235">
        <f aca="true" t="shared" si="29" ref="I155:P155">52/I7</f>
        <v>10.152284263959391</v>
      </c>
      <c r="J155" s="235">
        <f t="shared" si="29"/>
        <v>10.80182800166182</v>
      </c>
      <c r="K155" s="235">
        <f t="shared" si="29"/>
        <v>11.082693947144074</v>
      </c>
      <c r="L155" s="235">
        <f>52/L7</f>
        <v>10.984368398817068</v>
      </c>
      <c r="M155" s="235">
        <f>52/M7</f>
        <v>10.947368421052632</v>
      </c>
      <c r="N155" s="235">
        <f t="shared" si="29"/>
        <v>10.833333333333334</v>
      </c>
      <c r="O155" s="235">
        <f t="shared" si="29"/>
        <v>10.721649484536083</v>
      </c>
      <c r="P155" s="977">
        <f t="shared" si="29"/>
        <v>10.612244897959183</v>
      </c>
      <c r="Q155" s="452"/>
      <c r="R155" s="426"/>
      <c r="S155" s="181"/>
      <c r="T155" s="181"/>
    </row>
    <row r="156" spans="1:20" ht="22.5">
      <c r="A156" s="11" t="s">
        <v>138</v>
      </c>
      <c r="B156" s="5" t="s">
        <v>139</v>
      </c>
      <c r="C156" s="44">
        <v>63.6</v>
      </c>
      <c r="D156" s="44">
        <v>42</v>
      </c>
      <c r="E156" s="44">
        <f>132.1/4.937</f>
        <v>26.75713996354061</v>
      </c>
      <c r="F156" s="93">
        <f>143/2.983</f>
        <v>47.93831713040563</v>
      </c>
      <c r="G156" s="93">
        <f>150/2.734</f>
        <v>54.864667154352595</v>
      </c>
      <c r="H156" s="303">
        <f>183.2/3.414</f>
        <v>53.6613942589338</v>
      </c>
      <c r="I156" s="303">
        <f>185.2/3.469</f>
        <v>53.38714326895359</v>
      </c>
      <c r="J156" s="303">
        <f>242.2/3.231</f>
        <v>74.96131228721758</v>
      </c>
      <c r="K156" s="303">
        <f>237/3.405</f>
        <v>69.60352422907489</v>
      </c>
      <c r="L156" s="303">
        <f>237/3.785</f>
        <v>62.61558784676354</v>
      </c>
      <c r="M156" s="303">
        <f>237/3.785</f>
        <v>62.61558784676354</v>
      </c>
      <c r="N156" s="303">
        <f>237/3.785</f>
        <v>62.61558784676354</v>
      </c>
      <c r="O156" s="303">
        <f>237/3.785</f>
        <v>62.61558784676354</v>
      </c>
      <c r="P156" s="1026">
        <f>237/3.785</f>
        <v>62.61558784676354</v>
      </c>
      <c r="Q156" s="453"/>
      <c r="R156" s="426"/>
      <c r="S156" s="181"/>
      <c r="T156" s="181"/>
    </row>
    <row r="157" spans="1:20" ht="22.5">
      <c r="A157" s="11" t="s">
        <v>140</v>
      </c>
      <c r="B157" s="5" t="s">
        <v>139</v>
      </c>
      <c r="C157" s="44">
        <v>4</v>
      </c>
      <c r="D157" s="44">
        <v>4</v>
      </c>
      <c r="E157" s="44">
        <f>11.8/0.34</f>
        <v>34.705882352941174</v>
      </c>
      <c r="F157" s="44">
        <f>24.4/0.742</f>
        <v>32.884097035040426</v>
      </c>
      <c r="G157" s="44">
        <f>22.4/((176+376+211+159)/1000)</f>
        <v>24.295010845986983</v>
      </c>
      <c r="H157" s="229">
        <f>29.6/((367+175+157+210)/1000)</f>
        <v>32.563256325632565</v>
      </c>
      <c r="I157" s="229">
        <f>28.1/((350+169+159+208)/1000)</f>
        <v>31.715575620767495</v>
      </c>
      <c r="J157" s="229">
        <f>33.1/0.85</f>
        <v>38.94117647058824</v>
      </c>
      <c r="K157" s="229">
        <f>28.8/0.782</f>
        <v>36.828644501278774</v>
      </c>
      <c r="L157" s="229">
        <f>31/0.809</f>
        <v>38.31891223733003</v>
      </c>
      <c r="M157" s="229">
        <f>31/0.809</f>
        <v>38.31891223733003</v>
      </c>
      <c r="N157" s="229">
        <f>31/0.809</f>
        <v>38.31891223733003</v>
      </c>
      <c r="O157" s="229">
        <f>31/0.809</f>
        <v>38.31891223733003</v>
      </c>
      <c r="P157" s="978">
        <f>31/0.809</f>
        <v>38.31891223733003</v>
      </c>
      <c r="Q157" s="442"/>
      <c r="R157" s="426"/>
      <c r="S157" s="181"/>
      <c r="T157" s="181"/>
    </row>
    <row r="158" spans="1:20" ht="22.5">
      <c r="A158" s="11" t="s">
        <v>141</v>
      </c>
      <c r="B158" s="5" t="s">
        <v>142</v>
      </c>
      <c r="C158" s="44">
        <v>5.8</v>
      </c>
      <c r="D158" s="44">
        <v>4</v>
      </c>
      <c r="E158" s="44">
        <f>26/E7</f>
        <v>4.927041879855978</v>
      </c>
      <c r="F158" s="44">
        <f>25/F7</f>
        <v>4.671150971599402</v>
      </c>
      <c r="G158" s="44">
        <f>29/G7</f>
        <v>5.640925889904688</v>
      </c>
      <c r="H158" s="44">
        <f>29/H7</f>
        <v>5.580142389840292</v>
      </c>
      <c r="I158" s="44">
        <f>28/I7</f>
        <v>5.4666146036704415</v>
      </c>
      <c r="J158" s="44">
        <f>26/J7</f>
        <v>5.40091400083091</v>
      </c>
      <c r="K158" s="44">
        <f>28/K7</f>
        <v>5.967604433077579</v>
      </c>
      <c r="L158" s="44">
        <f>30/L7</f>
        <v>6.337135614702155</v>
      </c>
      <c r="M158" s="44">
        <f>33/M7</f>
        <v>6.947368421052632</v>
      </c>
      <c r="N158" s="44">
        <f>32/N7</f>
        <v>6.666666666666667</v>
      </c>
      <c r="O158" s="44">
        <f>32/O7</f>
        <v>6.5979381443298974</v>
      </c>
      <c r="P158" s="969">
        <f>32/P7</f>
        <v>6.530612244897958</v>
      </c>
      <c r="Q158" s="442"/>
      <c r="R158" s="426"/>
      <c r="S158" s="181"/>
      <c r="T158" s="181"/>
    </row>
    <row r="159" spans="1:20" ht="22.5">
      <c r="A159" s="11" t="s">
        <v>143</v>
      </c>
      <c r="B159" s="5" t="s">
        <v>142</v>
      </c>
      <c r="C159" s="44">
        <v>17.3</v>
      </c>
      <c r="D159" s="44">
        <v>11</v>
      </c>
      <c r="E159" s="44">
        <f>96/E7</f>
        <v>18.192154633314384</v>
      </c>
      <c r="F159" s="44">
        <f>85/F7</f>
        <v>15.881913303437965</v>
      </c>
      <c r="G159" s="44">
        <f>83/G7</f>
        <v>16.144718926278934</v>
      </c>
      <c r="H159" s="44">
        <f>85/H7</f>
        <v>16.355589763324996</v>
      </c>
      <c r="I159" s="44">
        <f>86/I7</f>
        <v>16.79031628270207</v>
      </c>
      <c r="J159" s="44">
        <f>84/J7</f>
        <v>17.449106771915247</v>
      </c>
      <c r="K159" s="44">
        <f>84/K7</f>
        <v>17.902813299232736</v>
      </c>
      <c r="L159" s="44">
        <f>81/L7</f>
        <v>17.11026615969582</v>
      </c>
      <c r="M159" s="44">
        <f>80/M7</f>
        <v>16.842105263157894</v>
      </c>
      <c r="N159" s="44">
        <f>81/N7</f>
        <v>16.875</v>
      </c>
      <c r="O159" s="44">
        <f>83/O7</f>
        <v>17.11340206185567</v>
      </c>
      <c r="P159" s="969">
        <f>83/P7</f>
        <v>16.93877551020408</v>
      </c>
      <c r="Q159" s="442"/>
      <c r="R159" s="426"/>
      <c r="S159" s="181"/>
      <c r="T159" s="181"/>
    </row>
    <row r="160" spans="1:20" ht="22.5">
      <c r="A160" s="11" t="s">
        <v>144</v>
      </c>
      <c r="B160" s="5" t="s">
        <v>145</v>
      </c>
      <c r="C160" s="44">
        <v>2</v>
      </c>
      <c r="D160" s="44">
        <v>2</v>
      </c>
      <c r="E160" s="44">
        <v>2</v>
      </c>
      <c r="F160" s="44">
        <f>9/F7</f>
        <v>1.6816143497757847</v>
      </c>
      <c r="G160" s="229">
        <f aca="true" t="shared" si="30" ref="G160:P160">7/G7</f>
        <v>1.3616028010114765</v>
      </c>
      <c r="H160" s="229">
        <f t="shared" si="30"/>
        <v>1.3469309216855878</v>
      </c>
      <c r="I160" s="229">
        <f t="shared" si="30"/>
        <v>1.3666536509176104</v>
      </c>
      <c r="J160" s="229">
        <f t="shared" si="30"/>
        <v>1.4540922309929372</v>
      </c>
      <c r="K160" s="229">
        <f t="shared" si="30"/>
        <v>1.4919011082693947</v>
      </c>
      <c r="L160" s="229">
        <f>7/L7</f>
        <v>1.478664976763836</v>
      </c>
      <c r="M160" s="229">
        <f>7/M7</f>
        <v>1.4736842105263157</v>
      </c>
      <c r="N160" s="229">
        <f t="shared" si="30"/>
        <v>1.4583333333333335</v>
      </c>
      <c r="O160" s="229">
        <f t="shared" si="30"/>
        <v>1.4432989690721651</v>
      </c>
      <c r="P160" s="978">
        <f t="shared" si="30"/>
        <v>1.4285714285714284</v>
      </c>
      <c r="Q160" s="442"/>
      <c r="R160" s="426"/>
      <c r="S160" s="181"/>
      <c r="T160" s="181"/>
    </row>
    <row r="161" spans="1:18" ht="22.5">
      <c r="A161" s="11" t="s">
        <v>146</v>
      </c>
      <c r="B161" s="5" t="s">
        <v>145</v>
      </c>
      <c r="C161" s="44">
        <v>1.75</v>
      </c>
      <c r="D161" s="44">
        <v>1.75</v>
      </c>
      <c r="E161" s="44">
        <v>1.75</v>
      </c>
      <c r="F161" s="44">
        <f>8/F7</f>
        <v>1.4947683109118086</v>
      </c>
      <c r="G161" s="229">
        <f aca="true" t="shared" si="31" ref="G161:P161">7/G7</f>
        <v>1.3616028010114765</v>
      </c>
      <c r="H161" s="229">
        <f t="shared" si="31"/>
        <v>1.3469309216855878</v>
      </c>
      <c r="I161" s="229">
        <f>7/I7</f>
        <v>1.3666536509176104</v>
      </c>
      <c r="J161" s="229">
        <f t="shared" si="31"/>
        <v>1.4540922309929372</v>
      </c>
      <c r="K161" s="229">
        <f t="shared" si="31"/>
        <v>1.4919011082693947</v>
      </c>
      <c r="L161" s="229">
        <f>7/L7</f>
        <v>1.478664976763836</v>
      </c>
      <c r="M161" s="229">
        <f>7/M7</f>
        <v>1.4736842105263157</v>
      </c>
      <c r="N161" s="229">
        <f t="shared" si="31"/>
        <v>1.4583333333333335</v>
      </c>
      <c r="O161" s="229">
        <f t="shared" si="31"/>
        <v>1.4432989690721651</v>
      </c>
      <c r="P161" s="978">
        <f t="shared" si="31"/>
        <v>1.4285714285714284</v>
      </c>
      <c r="Q161" s="442"/>
      <c r="R161" s="426"/>
    </row>
    <row r="162" spans="1:18" ht="12.75" hidden="1">
      <c r="A162" s="4"/>
      <c r="B162" s="5"/>
      <c r="C162" s="60"/>
      <c r="D162" s="60"/>
      <c r="E162" s="78">
        <v>787.8</v>
      </c>
      <c r="F162" s="78">
        <v>787.8</v>
      </c>
      <c r="G162" s="230"/>
      <c r="H162" s="236">
        <v>787.8</v>
      </c>
      <c r="I162" s="236">
        <v>787.8</v>
      </c>
      <c r="J162" s="236">
        <v>787.8</v>
      </c>
      <c r="K162" s="236"/>
      <c r="L162" s="236"/>
      <c r="M162" s="236"/>
      <c r="N162" s="236">
        <v>788</v>
      </c>
      <c r="O162" s="236">
        <v>788</v>
      </c>
      <c r="P162" s="979">
        <v>788</v>
      </c>
      <c r="Q162" s="442"/>
      <c r="R162" s="426"/>
    </row>
    <row r="163" spans="1:21" ht="22.5">
      <c r="A163" s="4" t="s">
        <v>147</v>
      </c>
      <c r="B163" s="5" t="s">
        <v>148</v>
      </c>
      <c r="C163" s="55" t="s">
        <v>149</v>
      </c>
      <c r="D163" s="55" t="s">
        <v>149</v>
      </c>
      <c r="E163" s="55" t="s">
        <v>149</v>
      </c>
      <c r="F163" s="55" t="s">
        <v>149</v>
      </c>
      <c r="G163" s="231" t="s">
        <v>149</v>
      </c>
      <c r="H163" s="231" t="s">
        <v>149</v>
      </c>
      <c r="I163" s="231" t="s">
        <v>149</v>
      </c>
      <c r="J163" s="231" t="s">
        <v>149</v>
      </c>
      <c r="K163" s="231" t="s">
        <v>149</v>
      </c>
      <c r="L163" s="231" t="s">
        <v>149</v>
      </c>
      <c r="M163" s="231" t="s">
        <v>149</v>
      </c>
      <c r="N163" s="231" t="s">
        <v>149</v>
      </c>
      <c r="O163" s="231" t="s">
        <v>149</v>
      </c>
      <c r="P163" s="980" t="s">
        <v>149</v>
      </c>
      <c r="Q163" s="454"/>
      <c r="R163" s="426"/>
      <c r="S163" s="181"/>
      <c r="U163" s="181"/>
    </row>
    <row r="164" spans="1:18" ht="17.25" customHeight="1" hidden="1">
      <c r="A164" s="1273" t="s">
        <v>150</v>
      </c>
      <c r="B164" s="1309"/>
      <c r="C164" s="1309"/>
      <c r="D164" s="1309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9"/>
      <c r="P164" s="1310"/>
      <c r="Q164" s="425"/>
      <c r="R164" s="426"/>
    </row>
    <row r="165" spans="1:18" ht="15.75" customHeight="1" hidden="1">
      <c r="A165" s="1311" t="s">
        <v>151</v>
      </c>
      <c r="B165" s="1312"/>
      <c r="C165" s="1309"/>
      <c r="D165" s="1309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9"/>
      <c r="P165" s="1310"/>
      <c r="Q165" s="425"/>
      <c r="R165" s="426"/>
    </row>
    <row r="166" spans="1:18" ht="12.75" hidden="1">
      <c r="A166" s="4" t="s">
        <v>18</v>
      </c>
      <c r="B166" s="5" t="s">
        <v>152</v>
      </c>
      <c r="C166" s="50">
        <v>2.1</v>
      </c>
      <c r="D166" s="50">
        <v>2.2</v>
      </c>
      <c r="E166" s="12">
        <f>(2.542487+0.195835)*1.5</f>
        <v>4.107483</v>
      </c>
      <c r="F166" s="12">
        <v>0</v>
      </c>
      <c r="G166" s="12">
        <f>3.1+0.069+3.5+0.23+4.8</f>
        <v>11.699000000000002</v>
      </c>
      <c r="H166" s="12">
        <v>0</v>
      </c>
      <c r="I166" s="49">
        <f>7.4+1.488</f>
        <v>8.888</v>
      </c>
      <c r="J166" s="49">
        <f>8.4+1.472</f>
        <v>9.872</v>
      </c>
      <c r="K166" s="49"/>
      <c r="L166" s="49"/>
      <c r="M166" s="49"/>
      <c r="N166" s="49">
        <f>9.2+1.47</f>
        <v>10.67</v>
      </c>
      <c r="O166" s="49">
        <v>0</v>
      </c>
      <c r="P166" s="89">
        <v>0</v>
      </c>
      <c r="Q166" s="444"/>
      <c r="R166" s="426"/>
    </row>
    <row r="167" spans="1:18" ht="12.75" hidden="1">
      <c r="A167" s="4" t="s">
        <v>153</v>
      </c>
      <c r="B167" s="5" t="s">
        <v>154</v>
      </c>
      <c r="C167" s="43">
        <v>392</v>
      </c>
      <c r="D167" s="43">
        <v>390</v>
      </c>
      <c r="E167" s="43">
        <v>385</v>
      </c>
      <c r="F167" s="43">
        <f>67.32+87.6</f>
        <v>154.92</v>
      </c>
      <c r="G167" s="43">
        <f>17+60.59</f>
        <v>77.59</v>
      </c>
      <c r="H167" s="43">
        <f>49.9+4.3</f>
        <v>54.199999999999996</v>
      </c>
      <c r="I167" s="43">
        <f>1370+5.844</f>
        <v>1375.844</v>
      </c>
      <c r="J167" s="43">
        <f>1640+5.934</f>
        <v>1645.934</v>
      </c>
      <c r="K167" s="43"/>
      <c r="L167" s="43"/>
      <c r="M167" s="43"/>
      <c r="N167" s="43">
        <f>1640+6.012</f>
        <v>1646.012</v>
      </c>
      <c r="O167" s="43">
        <f>35.7+4.4</f>
        <v>40.1</v>
      </c>
      <c r="P167" s="88">
        <f>35.7+4.4</f>
        <v>40.1</v>
      </c>
      <c r="Q167" s="439"/>
      <c r="R167" s="426"/>
    </row>
    <row r="168" spans="1:18" ht="22.5" hidden="1">
      <c r="A168" s="4" t="s">
        <v>155</v>
      </c>
      <c r="B168" s="5" t="s">
        <v>154</v>
      </c>
      <c r="C168" s="47" t="s">
        <v>156</v>
      </c>
      <c r="D168" s="47" t="s">
        <v>157</v>
      </c>
      <c r="E168" s="47" t="s">
        <v>157</v>
      </c>
      <c r="F168" s="94">
        <f>1706.988+1207</f>
        <v>2913.9880000000003</v>
      </c>
      <c r="G168" s="94">
        <f>1043+1434.74</f>
        <v>2477.74</v>
      </c>
      <c r="H168" s="94">
        <f>1.3+1164.8+101.5</f>
        <v>1267.6</v>
      </c>
      <c r="I168" s="94">
        <f>65.8+102.758+0.7</f>
        <v>169.25799999999998</v>
      </c>
      <c r="J168" s="94">
        <f>65.8+103.863+0.7</f>
        <v>170.363</v>
      </c>
      <c r="K168" s="94"/>
      <c r="L168" s="94"/>
      <c r="M168" s="94"/>
      <c r="N168" s="94">
        <f>70+103.561+0.7</f>
        <v>174.261</v>
      </c>
      <c r="O168" s="94">
        <f>N168</f>
        <v>174.261</v>
      </c>
      <c r="P168" s="127">
        <f>N168</f>
        <v>174.261</v>
      </c>
      <c r="Q168" s="447"/>
      <c r="R168" s="426"/>
    </row>
    <row r="169" spans="1:18" ht="12.75" hidden="1">
      <c r="A169" s="4" t="s">
        <v>158</v>
      </c>
      <c r="B169" s="5" t="s">
        <v>159</v>
      </c>
      <c r="C169" s="47" t="s">
        <v>160</v>
      </c>
      <c r="D169" s="47" t="s">
        <v>161</v>
      </c>
      <c r="E169" s="47" t="s">
        <v>162</v>
      </c>
      <c r="F169" s="94">
        <f>10705+469.682</f>
        <v>11174.682</v>
      </c>
      <c r="G169" s="94">
        <f>9708+351.922</f>
        <v>10059.922</v>
      </c>
      <c r="H169" s="94">
        <f>338.2+10923.72+6.04+110</f>
        <v>11377.960000000001</v>
      </c>
      <c r="I169" s="94">
        <f>162.3+8.116+4.4</f>
        <v>174.816</v>
      </c>
      <c r="J169" s="94">
        <f>165+8.095+4.4</f>
        <v>177.495</v>
      </c>
      <c r="K169" s="94"/>
      <c r="L169" s="94"/>
      <c r="M169" s="94"/>
      <c r="N169" s="94">
        <f>165+8.201+4.4</f>
        <v>177.601</v>
      </c>
      <c r="O169" s="94">
        <f>N169</f>
        <v>177.601</v>
      </c>
      <c r="P169" s="127">
        <f>N169</f>
        <v>177.601</v>
      </c>
      <c r="Q169" s="447"/>
      <c r="R169" s="426"/>
    </row>
    <row r="170" spans="1:18" ht="15.75" customHeight="1" thickBot="1">
      <c r="A170" s="1273" t="s">
        <v>352</v>
      </c>
      <c r="B170" s="1309"/>
      <c r="C170" s="1309"/>
      <c r="D170" s="1309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9"/>
      <c r="P170" s="1310"/>
      <c r="Q170" s="425"/>
      <c r="R170" s="426"/>
    </row>
    <row r="171" spans="1:27" ht="13.5" thickBot="1">
      <c r="A171" s="61" t="s">
        <v>163</v>
      </c>
      <c r="B171" s="5" t="s">
        <v>164</v>
      </c>
      <c r="C171" s="62">
        <v>67.91</v>
      </c>
      <c r="D171" s="62">
        <f aca="true" t="shared" si="32" ref="D171:P171">SUM(D173+D174)</f>
        <v>89.86</v>
      </c>
      <c r="E171" s="62">
        <f>SUM(E173+E174)</f>
        <v>90.25200000000001</v>
      </c>
      <c r="F171" s="62">
        <f>SUM(F173+F174)</f>
        <v>82.804</v>
      </c>
      <c r="G171" s="62">
        <f t="shared" si="32"/>
        <v>74.045</v>
      </c>
      <c r="H171" s="62">
        <f t="shared" si="32"/>
        <v>81.57300000000001</v>
      </c>
      <c r="I171" s="68">
        <f t="shared" si="32"/>
        <v>79.58000000000001</v>
      </c>
      <c r="J171" s="68">
        <f t="shared" si="32"/>
        <v>78.18</v>
      </c>
      <c r="K171" s="68">
        <f t="shared" si="32"/>
        <v>71.6</v>
      </c>
      <c r="L171" s="68">
        <f t="shared" si="32"/>
        <v>73.3</v>
      </c>
      <c r="M171" s="68">
        <f t="shared" si="32"/>
        <v>75.09</v>
      </c>
      <c r="N171" s="68">
        <f t="shared" si="32"/>
        <v>77.7</v>
      </c>
      <c r="O171" s="68">
        <f t="shared" si="32"/>
        <v>78.5</v>
      </c>
      <c r="P171" s="981">
        <f t="shared" si="32"/>
        <v>79.3</v>
      </c>
      <c r="Q171" s="444"/>
      <c r="R171" s="426"/>
      <c r="S171" s="1331" t="s">
        <v>215</v>
      </c>
      <c r="T171" s="1332"/>
      <c r="U171" s="1332"/>
      <c r="V171" s="1332"/>
      <c r="W171" s="1332"/>
      <c r="X171" s="1332"/>
      <c r="Y171" s="1332"/>
      <c r="Z171" s="1332"/>
      <c r="AA171" s="1333"/>
    </row>
    <row r="172" spans="1:27" ht="13.5" thickBot="1">
      <c r="A172" s="1313" t="s">
        <v>165</v>
      </c>
      <c r="B172" s="1309"/>
      <c r="C172" s="1309"/>
      <c r="D172" s="1309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9"/>
      <c r="P172" s="1310"/>
      <c r="Q172" s="425"/>
      <c r="R172" s="426"/>
      <c r="S172" s="746"/>
      <c r="T172" s="103">
        <v>2014</v>
      </c>
      <c r="U172" s="103">
        <v>2015</v>
      </c>
      <c r="V172" s="103">
        <v>2016</v>
      </c>
      <c r="W172" s="104">
        <v>2017</v>
      </c>
      <c r="X172" s="104">
        <v>2018</v>
      </c>
      <c r="Y172" s="104">
        <v>2019</v>
      </c>
      <c r="Z172" s="104">
        <v>2020</v>
      </c>
      <c r="AA172" s="105">
        <v>2021</v>
      </c>
    </row>
    <row r="173" spans="1:27" ht="12.75">
      <c r="A173" s="46" t="s">
        <v>166</v>
      </c>
      <c r="B173" s="5" t="s">
        <v>164</v>
      </c>
      <c r="C173" s="95">
        <v>52.2806</v>
      </c>
      <c r="D173" s="128">
        <v>76.52</v>
      </c>
      <c r="E173" s="95">
        <v>76.132</v>
      </c>
      <c r="F173" s="95">
        <v>70.33</v>
      </c>
      <c r="G173" s="95">
        <v>61.096</v>
      </c>
      <c r="H173" s="95">
        <v>70.483</v>
      </c>
      <c r="I173" s="129">
        <v>68.54</v>
      </c>
      <c r="J173" s="129">
        <v>68.23</v>
      </c>
      <c r="K173" s="129">
        <v>61</v>
      </c>
      <c r="L173" s="129">
        <v>63.18</v>
      </c>
      <c r="M173" s="129">
        <v>64.47</v>
      </c>
      <c r="N173" s="129">
        <v>70.18</v>
      </c>
      <c r="O173" s="129">
        <v>70.9</v>
      </c>
      <c r="P173" s="982">
        <v>71.6</v>
      </c>
      <c r="Q173" s="455"/>
      <c r="R173" s="426"/>
      <c r="S173" s="747" t="s">
        <v>206</v>
      </c>
      <c r="T173" s="748">
        <v>32.04</v>
      </c>
      <c r="U173" s="748">
        <v>35.73</v>
      </c>
      <c r="V173" s="748">
        <v>30.2</v>
      </c>
      <c r="W173" s="748">
        <v>58</v>
      </c>
      <c r="X173" s="748">
        <v>54</v>
      </c>
      <c r="Y173" s="748">
        <v>51</v>
      </c>
      <c r="Z173" s="748">
        <v>51</v>
      </c>
      <c r="AA173" s="749">
        <v>51</v>
      </c>
    </row>
    <row r="174" spans="1:27" ht="12.75">
      <c r="A174" s="46" t="s">
        <v>167</v>
      </c>
      <c r="B174" s="5" t="s">
        <v>164</v>
      </c>
      <c r="C174" s="62">
        <v>15.6325</v>
      </c>
      <c r="D174" s="62">
        <v>13.34</v>
      </c>
      <c r="E174" s="62">
        <f>13.396+0.724</f>
        <v>14.120000000000001</v>
      </c>
      <c r="F174" s="62">
        <f>12.421+0.053</f>
        <v>12.474</v>
      </c>
      <c r="G174" s="62">
        <f>0.02+12.929</f>
        <v>12.949</v>
      </c>
      <c r="H174" s="62">
        <f>11+0.03+0.06</f>
        <v>11.09</v>
      </c>
      <c r="I174" s="482">
        <f>11.04</f>
        <v>11.04</v>
      </c>
      <c r="J174" s="482">
        <v>9.95</v>
      </c>
      <c r="K174" s="482">
        <v>10.6</v>
      </c>
      <c r="L174" s="482">
        <v>10.12</v>
      </c>
      <c r="M174" s="482">
        <v>10.62</v>
      </c>
      <c r="N174" s="983">
        <v>7.52</v>
      </c>
      <c r="O174" s="65">
        <v>7.6</v>
      </c>
      <c r="P174" s="984">
        <v>7.7</v>
      </c>
      <c r="Q174" s="456"/>
      <c r="R174" s="426"/>
      <c r="S174" s="744" t="s">
        <v>272</v>
      </c>
      <c r="T174" s="225">
        <v>89.1</v>
      </c>
      <c r="U174" s="225">
        <v>119.3</v>
      </c>
      <c r="V174" s="225">
        <v>20.5</v>
      </c>
      <c r="W174" s="225">
        <v>74.4</v>
      </c>
      <c r="X174" s="225">
        <v>65.2</v>
      </c>
      <c r="Y174" s="225">
        <v>70</v>
      </c>
      <c r="Z174" s="225">
        <v>70</v>
      </c>
      <c r="AA174" s="483">
        <v>70</v>
      </c>
    </row>
    <row r="175" spans="1:32" ht="12.75">
      <c r="A175" s="63" t="s">
        <v>168</v>
      </c>
      <c r="B175" s="64" t="s">
        <v>169</v>
      </c>
      <c r="C175" s="65">
        <f>97.573+61.513</f>
        <v>159.08599999999998</v>
      </c>
      <c r="D175" s="65">
        <v>144.6</v>
      </c>
      <c r="E175" s="65">
        <f>53.658+92.861</f>
        <v>146.519</v>
      </c>
      <c r="F175" s="65">
        <f>58.455+104.417</f>
        <v>162.872</v>
      </c>
      <c r="G175" s="65">
        <f>111.751+46.459</f>
        <v>158.21</v>
      </c>
      <c r="H175" s="65">
        <f>51.1+100.8+8</f>
        <v>159.9</v>
      </c>
      <c r="I175" s="65">
        <v>133.9</v>
      </c>
      <c r="J175" s="65">
        <v>135.3</v>
      </c>
      <c r="K175" s="65">
        <v>125.2</v>
      </c>
      <c r="L175" s="65">
        <v>124.4</v>
      </c>
      <c r="M175" s="65">
        <v>126</v>
      </c>
      <c r="N175" s="65">
        <v>126.8</v>
      </c>
      <c r="O175" s="65">
        <v>128.1</v>
      </c>
      <c r="P175" s="984">
        <v>129.4</v>
      </c>
      <c r="Q175" s="456"/>
      <c r="R175" s="456"/>
      <c r="S175" s="744" t="s">
        <v>273</v>
      </c>
      <c r="T175" s="225">
        <v>48.4</v>
      </c>
      <c r="U175" s="225">
        <v>25.2</v>
      </c>
      <c r="V175" s="225">
        <v>23</v>
      </c>
      <c r="W175" s="225">
        <v>32.6</v>
      </c>
      <c r="X175" s="225">
        <v>28.2</v>
      </c>
      <c r="Y175" s="225">
        <v>38.9</v>
      </c>
      <c r="Z175" s="225">
        <v>40</v>
      </c>
      <c r="AA175" s="483">
        <v>40</v>
      </c>
      <c r="AB175" s="232"/>
      <c r="AC175" s="232"/>
      <c r="AD175" s="232"/>
      <c r="AE175" s="232"/>
      <c r="AF175" s="232"/>
    </row>
    <row r="176" spans="1:27" ht="12.75">
      <c r="A176" s="63" t="s">
        <v>170</v>
      </c>
      <c r="B176" s="64" t="s">
        <v>169</v>
      </c>
      <c r="C176" s="65">
        <f>84.698+45.037</f>
        <v>129.73499999999999</v>
      </c>
      <c r="D176" s="65">
        <v>124.7</v>
      </c>
      <c r="E176" s="65">
        <f>38.439+80.325</f>
        <v>118.76400000000001</v>
      </c>
      <c r="F176" s="65">
        <f>44.179+92.738</f>
        <v>136.917</v>
      </c>
      <c r="G176" s="65">
        <f>107.204+37.565</f>
        <v>144.769</v>
      </c>
      <c r="H176" s="65">
        <f>40.1+96.346</f>
        <v>136.446</v>
      </c>
      <c r="I176" s="65">
        <v>120.5</v>
      </c>
      <c r="J176" s="65">
        <v>127.1</v>
      </c>
      <c r="K176" s="65">
        <v>116.4</v>
      </c>
      <c r="L176" s="65">
        <v>114.3</v>
      </c>
      <c r="M176" s="65">
        <v>113.1</v>
      </c>
      <c r="N176" s="65">
        <v>116.3</v>
      </c>
      <c r="O176" s="65">
        <v>117.4</v>
      </c>
      <c r="P176" s="984">
        <v>118.6</v>
      </c>
      <c r="Q176" s="456"/>
      <c r="R176" s="426"/>
      <c r="S176" s="744" t="s">
        <v>208</v>
      </c>
      <c r="T176" s="225">
        <v>124.4</v>
      </c>
      <c r="U176" s="225">
        <v>101.7</v>
      </c>
      <c r="V176" s="225">
        <v>168.2</v>
      </c>
      <c r="W176" s="225">
        <v>91.5</v>
      </c>
      <c r="X176" s="225">
        <v>68.2</v>
      </c>
      <c r="Y176" s="225">
        <v>68.9</v>
      </c>
      <c r="Z176" s="225">
        <v>70</v>
      </c>
      <c r="AA176" s="483">
        <v>70</v>
      </c>
    </row>
    <row r="177" spans="1:27" ht="13.5" thickBot="1">
      <c r="A177" s="61" t="s">
        <v>171</v>
      </c>
      <c r="B177" s="5" t="s">
        <v>172</v>
      </c>
      <c r="C177" s="66">
        <f>264+5.7+490+50</f>
        <v>809.7</v>
      </c>
      <c r="D177" s="67">
        <f>128+470+16.3+130</f>
        <v>744.3</v>
      </c>
      <c r="E177" s="67">
        <v>793.2</v>
      </c>
      <c r="F177" s="67">
        <v>837.79</v>
      </c>
      <c r="G177" s="68">
        <v>1089.505</v>
      </c>
      <c r="H177" s="68">
        <f>692.8+45.21+165+169</f>
        <v>1072.01</v>
      </c>
      <c r="I177" s="130">
        <f>611.08+35.796+211.3+190.667</f>
        <v>1048.843</v>
      </c>
      <c r="J177" s="130">
        <v>1007.06</v>
      </c>
      <c r="K177" s="130">
        <v>985.849</v>
      </c>
      <c r="L177" s="130">
        <v>1063.7</v>
      </c>
      <c r="M177" s="130">
        <v>1140.25</v>
      </c>
      <c r="N177" s="130">
        <v>935</v>
      </c>
      <c r="O177" s="130">
        <v>1135</v>
      </c>
      <c r="P177" s="985">
        <v>1135</v>
      </c>
      <c r="Q177" s="457"/>
      <c r="R177" s="426"/>
      <c r="S177" s="745" t="s">
        <v>200</v>
      </c>
      <c r="T177" s="289">
        <f aca="true" t="shared" si="33" ref="T177:Y177">T173+T174+T175+T176</f>
        <v>293.94</v>
      </c>
      <c r="U177" s="289">
        <f t="shared" si="33"/>
        <v>281.93</v>
      </c>
      <c r="V177" s="289">
        <f t="shared" si="33"/>
        <v>241.89999999999998</v>
      </c>
      <c r="W177" s="289">
        <f t="shared" si="33"/>
        <v>256.5</v>
      </c>
      <c r="X177" s="289">
        <f t="shared" si="33"/>
        <v>215.60000000000002</v>
      </c>
      <c r="Y177" s="289">
        <f t="shared" si="33"/>
        <v>228.8</v>
      </c>
      <c r="Z177" s="289">
        <f>Z173+Z174+Z175+Z176</f>
        <v>231</v>
      </c>
      <c r="AA177" s="290">
        <f>AA173+AA174+AA175+AA176</f>
        <v>231</v>
      </c>
    </row>
    <row r="178" spans="1:27" ht="13.5" thickBot="1">
      <c r="A178" s="61" t="s">
        <v>173</v>
      </c>
      <c r="B178" s="5" t="s">
        <v>174</v>
      </c>
      <c r="C178" s="68">
        <f>175+32+50+3</f>
        <v>260</v>
      </c>
      <c r="D178" s="68">
        <v>230.3</v>
      </c>
      <c r="E178" s="68">
        <f>242+69+46+52.339</f>
        <v>409.339</v>
      </c>
      <c r="F178" s="68">
        <v>413.2</v>
      </c>
      <c r="G178" s="68">
        <v>337</v>
      </c>
      <c r="H178" s="68">
        <v>275.31</v>
      </c>
      <c r="I178" s="68">
        <v>293.94</v>
      </c>
      <c r="J178" s="68">
        <v>282</v>
      </c>
      <c r="K178" s="68">
        <v>241.9</v>
      </c>
      <c r="L178" s="68">
        <v>256.5</v>
      </c>
      <c r="M178" s="68">
        <v>215.6</v>
      </c>
      <c r="N178" s="68">
        <v>228.8</v>
      </c>
      <c r="O178" s="68">
        <v>231</v>
      </c>
      <c r="P178" s="981">
        <v>231</v>
      </c>
      <c r="Q178" s="458"/>
      <c r="R178" s="426"/>
      <c r="T178" s="291">
        <f aca="true" t="shared" si="34" ref="T178:Y178">T177-T173</f>
        <v>261.9</v>
      </c>
      <c r="U178" s="292">
        <f t="shared" si="34"/>
        <v>246.20000000000002</v>
      </c>
      <c r="V178" s="292">
        <f t="shared" si="34"/>
        <v>211.7</v>
      </c>
      <c r="W178" s="292">
        <f t="shared" si="34"/>
        <v>198.5</v>
      </c>
      <c r="X178" s="292">
        <f t="shared" si="34"/>
        <v>161.60000000000002</v>
      </c>
      <c r="Y178" s="292">
        <f t="shared" si="34"/>
        <v>177.8</v>
      </c>
      <c r="Z178" s="292">
        <f>Z177-Z173</f>
        <v>180</v>
      </c>
      <c r="AA178" s="293">
        <f>AA177-AA173</f>
        <v>180</v>
      </c>
    </row>
    <row r="179" spans="1:18" ht="12.75">
      <c r="A179" s="69" t="s">
        <v>175</v>
      </c>
      <c r="B179" s="5" t="s">
        <v>174</v>
      </c>
      <c r="C179" s="66" t="s">
        <v>43</v>
      </c>
      <c r="D179" s="66">
        <v>6</v>
      </c>
      <c r="E179" s="66">
        <v>59.9</v>
      </c>
      <c r="F179" s="66">
        <v>54</v>
      </c>
      <c r="G179" s="66">
        <v>56.1</v>
      </c>
      <c r="H179" s="66">
        <v>56.4</v>
      </c>
      <c r="I179" s="66">
        <v>60.7</v>
      </c>
      <c r="J179" s="66">
        <v>56.4</v>
      </c>
      <c r="K179" s="66">
        <v>65</v>
      </c>
      <c r="L179" s="66">
        <v>54.5</v>
      </c>
      <c r="M179" s="66">
        <v>50</v>
      </c>
      <c r="N179" s="66">
        <v>50</v>
      </c>
      <c r="O179" s="66">
        <v>50</v>
      </c>
      <c r="P179" s="986">
        <v>50</v>
      </c>
      <c r="Q179" s="427"/>
      <c r="R179" s="426"/>
    </row>
    <row r="180" spans="1:23" ht="15" customHeight="1" thickBot="1">
      <c r="A180" s="70" t="s">
        <v>176</v>
      </c>
      <c r="B180" s="71" t="s">
        <v>174</v>
      </c>
      <c r="C180" s="309">
        <f>215.48+82</f>
        <v>297.48</v>
      </c>
      <c r="D180" s="309">
        <v>282.68</v>
      </c>
      <c r="E180" s="309">
        <v>267.946</v>
      </c>
      <c r="F180" s="309">
        <v>247.77</v>
      </c>
      <c r="G180" s="309">
        <v>244.35</v>
      </c>
      <c r="H180" s="309">
        <v>236.47</v>
      </c>
      <c r="I180" s="309">
        <v>239.7</v>
      </c>
      <c r="J180" s="309">
        <v>250.97</v>
      </c>
      <c r="K180" s="309">
        <v>243.36</v>
      </c>
      <c r="L180" s="309">
        <v>246.7</v>
      </c>
      <c r="M180" s="309">
        <v>244.2</v>
      </c>
      <c r="N180" s="309">
        <v>253.97</v>
      </c>
      <c r="O180" s="309">
        <v>253.97</v>
      </c>
      <c r="P180" s="987">
        <v>253.97</v>
      </c>
      <c r="Q180" s="458"/>
      <c r="R180" s="426"/>
      <c r="V180" s="177">
        <f>224.8/12*9</f>
        <v>168.60000000000002</v>
      </c>
      <c r="W180" s="177">
        <f>W178/12*9</f>
        <v>148.875</v>
      </c>
    </row>
    <row r="181" spans="1:17" ht="12.75" hidden="1">
      <c r="A181" s="304" t="s">
        <v>177</v>
      </c>
      <c r="B181" s="305" t="s">
        <v>178</v>
      </c>
      <c r="C181" s="306" t="s">
        <v>43</v>
      </c>
      <c r="D181" s="306" t="s">
        <v>43</v>
      </c>
      <c r="E181" s="307" t="s">
        <v>43</v>
      </c>
      <c r="F181" s="307" t="s">
        <v>43</v>
      </c>
      <c r="G181" s="307"/>
      <c r="H181" s="307"/>
      <c r="I181" s="307"/>
      <c r="J181" s="306" t="s">
        <v>43</v>
      </c>
      <c r="K181" s="306"/>
      <c r="L181" s="306"/>
      <c r="M181" s="306"/>
      <c r="N181" s="306" t="s">
        <v>43</v>
      </c>
      <c r="O181" s="306" t="s">
        <v>43</v>
      </c>
      <c r="P181" s="308" t="s">
        <v>43</v>
      </c>
      <c r="Q181" s="423"/>
    </row>
    <row r="182" spans="1:17" ht="13.5" hidden="1" thickBot="1">
      <c r="A182" s="70" t="s">
        <v>179</v>
      </c>
      <c r="B182" s="71" t="s">
        <v>178</v>
      </c>
      <c r="C182" s="72" t="s">
        <v>43</v>
      </c>
      <c r="D182" s="72" t="s">
        <v>43</v>
      </c>
      <c r="E182" s="79" t="s">
        <v>43</v>
      </c>
      <c r="F182" s="79" t="s">
        <v>43</v>
      </c>
      <c r="G182" s="79"/>
      <c r="H182" s="79"/>
      <c r="I182" s="79"/>
      <c r="J182" s="72" t="s">
        <v>43</v>
      </c>
      <c r="K182" s="72"/>
      <c r="L182" s="72"/>
      <c r="M182" s="72"/>
      <c r="N182" s="72" t="s">
        <v>43</v>
      </c>
      <c r="O182" s="72" t="s">
        <v>43</v>
      </c>
      <c r="P182" s="295" t="s">
        <v>43</v>
      </c>
      <c r="Q182" s="423"/>
    </row>
    <row r="183" spans="3:15" ht="12.75">
      <c r="C183" s="73"/>
      <c r="D183" s="74"/>
      <c r="E183" s="74"/>
      <c r="F183" s="74"/>
      <c r="G183" s="74"/>
      <c r="H183" s="74"/>
      <c r="I183" s="74"/>
      <c r="J183" s="73"/>
      <c r="K183" s="73"/>
      <c r="L183" s="73"/>
      <c r="M183" s="73"/>
      <c r="N183" s="73"/>
      <c r="O183" s="73"/>
    </row>
    <row r="184" ht="12.75"/>
    <row r="185" ht="12.75" hidden="1"/>
    <row r="186" ht="12.75" hidden="1"/>
    <row r="187" spans="16:17" ht="12.75" hidden="1">
      <c r="P187" s="177">
        <v>55.89</v>
      </c>
      <c r="Q187" s="177">
        <f>P187/9*12</f>
        <v>74.52</v>
      </c>
    </row>
    <row r="188" spans="16:17" ht="12.75" hidden="1">
      <c r="P188" s="177">
        <v>120.9</v>
      </c>
      <c r="Q188" s="177">
        <f>P188/9*12</f>
        <v>161.2</v>
      </c>
    </row>
    <row r="189" ht="14.25" hidden="1">
      <c r="AF189" s="223"/>
    </row>
    <row r="190" ht="12.75" hidden="1"/>
    <row r="191" ht="12.75"/>
    <row r="192" ht="12.75"/>
    <row r="193" ht="12.75"/>
    <row r="194" ht="12.75"/>
    <row r="195" ht="12.75"/>
    <row r="196" ht="12.75"/>
    <row r="197" ht="12.75"/>
    <row r="198" ht="12.75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>
      <c r="J205" s="177">
        <f>2039/2756</f>
        <v>0.7398403483309144</v>
      </c>
    </row>
    <row r="206" ht="12.75" hidden="1">
      <c r="J206" s="177">
        <f>2763*0.74</f>
        <v>2044.62</v>
      </c>
    </row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/>
    <row r="216" ht="12.75"/>
    <row r="217" ht="12.75"/>
    <row r="218" ht="12.75"/>
    <row r="219" ht="12.75"/>
    <row r="220" ht="12.75"/>
  </sheetData>
  <sheetProtection/>
  <mergeCells count="44">
    <mergeCell ref="S171:AA171"/>
    <mergeCell ref="A121:P121"/>
    <mergeCell ref="A126:P126"/>
    <mergeCell ref="A170:P170"/>
    <mergeCell ref="A172:P172"/>
    <mergeCell ref="A129:P129"/>
    <mergeCell ref="A140:P140"/>
    <mergeCell ref="A145:P145"/>
    <mergeCell ref="A154:P154"/>
    <mergeCell ref="A164:P164"/>
    <mergeCell ref="A165:P165"/>
    <mergeCell ref="A72:P72"/>
    <mergeCell ref="A74:P74"/>
    <mergeCell ref="A76:P76"/>
    <mergeCell ref="A81:O81"/>
    <mergeCell ref="A101:P101"/>
    <mergeCell ref="A106:P106"/>
    <mergeCell ref="A108:P108"/>
    <mergeCell ref="A114:P114"/>
    <mergeCell ref="A120:P120"/>
    <mergeCell ref="A48:P48"/>
    <mergeCell ref="A50:P50"/>
    <mergeCell ref="A60:P60"/>
    <mergeCell ref="A65:P65"/>
    <mergeCell ref="A67:P67"/>
    <mergeCell ref="A70:P70"/>
    <mergeCell ref="A25:P25"/>
    <mergeCell ref="A29:P29"/>
    <mergeCell ref="A30:P30"/>
    <mergeCell ref="A33:P33"/>
    <mergeCell ref="A42:P42"/>
    <mergeCell ref="A46:P46"/>
    <mergeCell ref="A12:P12"/>
    <mergeCell ref="A13:P13"/>
    <mergeCell ref="A16:P16"/>
    <mergeCell ref="A17:P17"/>
    <mergeCell ref="A20:P20"/>
    <mergeCell ref="A23:P23"/>
    <mergeCell ref="N1:P1"/>
    <mergeCell ref="A4:A5"/>
    <mergeCell ref="B4:B5"/>
    <mergeCell ref="N4:P4"/>
    <mergeCell ref="A3:P3"/>
    <mergeCell ref="A6:P6"/>
  </mergeCells>
  <printOptions horizontalCentered="1"/>
  <pageMargins left="0.2362204724409449" right="0" top="0.2755905511811024" bottom="0.2755905511811024" header="0" footer="0"/>
  <pageSetup fitToHeight="3" fitToWidth="1" horizontalDpi="600" verticalDpi="600" orientation="portrait" paperSize="9" scale="74" r:id="rId3"/>
  <rowBreaks count="2" manualBreakCount="2">
    <brk id="80" max="15" man="1"/>
    <brk id="157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2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21.875" style="212" customWidth="1"/>
    <col min="2" max="3" width="11.25390625" style="212" hidden="1" customWidth="1"/>
    <col min="4" max="5" width="11.625" style="212" bestFit="1" customWidth="1"/>
    <col min="6" max="6" width="11.375" style="212" bestFit="1" customWidth="1"/>
    <col min="7" max="8" width="11.625" style="212" bestFit="1" customWidth="1"/>
    <col min="9" max="9" width="10.25390625" style="212" bestFit="1" customWidth="1"/>
    <col min="10" max="11" width="11.25390625" style="212" bestFit="1" customWidth="1"/>
    <col min="12" max="12" width="9.25390625" style="212" bestFit="1" customWidth="1"/>
    <col min="13" max="13" width="9.375" style="212" bestFit="1" customWidth="1"/>
    <col min="14" max="16384" width="9.125" style="212" customWidth="1"/>
  </cols>
  <sheetData>
    <row r="1" spans="1:9" ht="16.5" thickBot="1">
      <c r="A1" s="1348" t="s">
        <v>324</v>
      </c>
      <c r="B1" s="1348"/>
      <c r="C1" s="1348"/>
      <c r="D1" s="1348"/>
      <c r="E1" s="1348"/>
      <c r="F1" s="1348"/>
      <c r="G1" s="329"/>
      <c r="H1" s="329"/>
      <c r="I1" s="329"/>
    </row>
    <row r="2" spans="1:13" ht="16.5" thickBot="1">
      <c r="A2" s="668" t="s">
        <v>199</v>
      </c>
      <c r="B2" s="669">
        <v>2012</v>
      </c>
      <c r="C2" s="670">
        <v>2013</v>
      </c>
      <c r="D2" s="671">
        <v>2014</v>
      </c>
      <c r="E2" s="672">
        <v>2015</v>
      </c>
      <c r="F2" s="672">
        <v>2016</v>
      </c>
      <c r="G2" s="673">
        <v>2017</v>
      </c>
      <c r="H2" s="673">
        <v>2018</v>
      </c>
      <c r="I2" s="673">
        <v>2019</v>
      </c>
      <c r="J2" s="673">
        <v>2020</v>
      </c>
      <c r="K2" s="673">
        <v>2021</v>
      </c>
      <c r="L2" s="674">
        <v>2022</v>
      </c>
      <c r="M2" s="674">
        <v>2023</v>
      </c>
    </row>
    <row r="3" spans="1:13" ht="13.5" customHeight="1">
      <c r="A3" s="675" t="s">
        <v>195</v>
      </c>
      <c r="B3" s="676">
        <v>829.9</v>
      </c>
      <c r="C3" s="676">
        <v>692.791</v>
      </c>
      <c r="D3" s="677">
        <v>611.081</v>
      </c>
      <c r="E3" s="677">
        <v>659.512</v>
      </c>
      <c r="F3" s="678">
        <v>614.178</v>
      </c>
      <c r="G3" s="679">
        <v>610.05</v>
      </c>
      <c r="H3" s="716">
        <v>733.77</v>
      </c>
      <c r="I3" s="716">
        <v>600</v>
      </c>
      <c r="J3" s="716">
        <v>600</v>
      </c>
      <c r="K3" s="716">
        <v>600</v>
      </c>
      <c r="L3" s="680">
        <v>0</v>
      </c>
      <c r="M3" s="680">
        <v>0</v>
      </c>
    </row>
    <row r="4" spans="1:13" ht="15.75">
      <c r="A4" s="681" t="s">
        <v>196</v>
      </c>
      <c r="B4" s="364">
        <v>41.41</v>
      </c>
      <c r="C4" s="364">
        <v>45.21</v>
      </c>
      <c r="D4" s="682">
        <v>35.796</v>
      </c>
      <c r="E4" s="682">
        <v>32.183</v>
      </c>
      <c r="F4" s="683">
        <v>37.173</v>
      </c>
      <c r="G4" s="682">
        <v>10.95</v>
      </c>
      <c r="H4" s="717">
        <v>25.46</v>
      </c>
      <c r="I4" s="717">
        <v>50</v>
      </c>
      <c r="J4" s="717">
        <v>50</v>
      </c>
      <c r="K4" s="717">
        <v>50</v>
      </c>
      <c r="L4" s="684">
        <v>0</v>
      </c>
      <c r="M4" s="684">
        <v>0</v>
      </c>
    </row>
    <row r="5" spans="1:13" ht="15.75">
      <c r="A5" s="681" t="s">
        <v>197</v>
      </c>
      <c r="B5" s="364">
        <v>173.2</v>
      </c>
      <c r="C5" s="364">
        <v>165</v>
      </c>
      <c r="D5" s="682">
        <v>209.6</v>
      </c>
      <c r="E5" s="682">
        <v>177.8</v>
      </c>
      <c r="F5" s="683">
        <v>230.2</v>
      </c>
      <c r="G5" s="682">
        <v>271.5</v>
      </c>
      <c r="H5" s="717">
        <v>245.1</v>
      </c>
      <c r="I5" s="717">
        <v>260</v>
      </c>
      <c r="J5" s="717">
        <v>260</v>
      </c>
      <c r="K5" s="717">
        <v>260</v>
      </c>
      <c r="L5" s="684">
        <v>0</v>
      </c>
      <c r="M5" s="684">
        <v>0</v>
      </c>
    </row>
    <row r="6" spans="1:13" ht="15.75">
      <c r="A6" s="685" t="s">
        <v>198</v>
      </c>
      <c r="B6" s="364">
        <v>44.995</v>
      </c>
      <c r="C6" s="364">
        <v>169</v>
      </c>
      <c r="D6" s="682">
        <v>190.667</v>
      </c>
      <c r="E6" s="682">
        <v>137.565</v>
      </c>
      <c r="F6" s="683">
        <v>89.3</v>
      </c>
      <c r="G6" s="682">
        <v>148.62</v>
      </c>
      <c r="H6" s="717">
        <v>109.98</v>
      </c>
      <c r="I6" s="717">
        <v>0</v>
      </c>
      <c r="J6" s="717">
        <v>200</v>
      </c>
      <c r="K6" s="717">
        <v>200</v>
      </c>
      <c r="L6" s="684">
        <v>0</v>
      </c>
      <c r="M6" s="684">
        <v>0</v>
      </c>
    </row>
    <row r="7" spans="1:13" ht="16.5" thickBot="1">
      <c r="A7" s="686" t="s">
        <v>357</v>
      </c>
      <c r="B7" s="687">
        <v>0</v>
      </c>
      <c r="C7" s="687">
        <v>0</v>
      </c>
      <c r="D7" s="688">
        <v>0</v>
      </c>
      <c r="E7" s="688">
        <v>0</v>
      </c>
      <c r="F7" s="689">
        <v>14.937</v>
      </c>
      <c r="G7" s="690">
        <v>22.54</v>
      </c>
      <c r="H7" s="718">
        <v>25.94</v>
      </c>
      <c r="I7" s="718">
        <v>25</v>
      </c>
      <c r="J7" s="718">
        <v>25</v>
      </c>
      <c r="K7" s="718">
        <v>25</v>
      </c>
      <c r="L7" s="691">
        <v>0</v>
      </c>
      <c r="M7" s="691">
        <v>0</v>
      </c>
    </row>
    <row r="8" spans="1:13" ht="16.5" thickBot="1">
      <c r="A8" s="692" t="s">
        <v>200</v>
      </c>
      <c r="B8" s="692">
        <f>SUM(B3:B7)</f>
        <v>1089.5049999999999</v>
      </c>
      <c r="C8" s="692">
        <f aca="true" t="shared" si="0" ref="C8:I8">SUM(C3:C7)</f>
        <v>1072.0010000000002</v>
      </c>
      <c r="D8" s="693">
        <f t="shared" si="0"/>
        <v>1047.144</v>
      </c>
      <c r="E8" s="693">
        <f t="shared" si="0"/>
        <v>1007.06</v>
      </c>
      <c r="F8" s="693">
        <f t="shared" si="0"/>
        <v>985.7879999999999</v>
      </c>
      <c r="G8" s="694">
        <f t="shared" si="0"/>
        <v>1063.6599999999999</v>
      </c>
      <c r="H8" s="694">
        <f t="shared" si="0"/>
        <v>1140.25</v>
      </c>
      <c r="I8" s="694">
        <f t="shared" si="0"/>
        <v>935</v>
      </c>
      <c r="J8" s="694">
        <f>SUM(J3:J7)</f>
        <v>1135</v>
      </c>
      <c r="K8" s="694">
        <f>SUM(K3:K7)</f>
        <v>1135</v>
      </c>
      <c r="L8" s="695">
        <f>SUM(L3:L7)</f>
        <v>0</v>
      </c>
      <c r="M8" s="695">
        <f>SUM(M3:M7)</f>
        <v>0</v>
      </c>
    </row>
    <row r="9" ht="15.75">
      <c r="H9" s="212">
        <f>H8-G8</f>
        <v>76.59000000000015</v>
      </c>
    </row>
    <row r="10" spans="1:6" ht="15.75">
      <c r="A10" s="1349" t="s">
        <v>292</v>
      </c>
      <c r="B10" s="1349"/>
      <c r="C10" s="1349"/>
      <c r="D10" s="1349"/>
      <c r="E10" s="1349"/>
      <c r="F10" s="1349"/>
    </row>
    <row r="11" spans="1:6" ht="15.75">
      <c r="A11" s="696"/>
      <c r="B11" s="696"/>
      <c r="C11" s="696"/>
      <c r="D11" s="696"/>
      <c r="E11" s="696"/>
      <c r="F11" s="696"/>
    </row>
    <row r="12" spans="1:13" ht="33.75" customHeight="1">
      <c r="A12" s="1350" t="s">
        <v>412</v>
      </c>
      <c r="B12" s="1350"/>
      <c r="C12" s="1350"/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</row>
    <row r="13" spans="1:10" ht="16.5" thickBot="1">
      <c r="A13" s="322"/>
      <c r="B13" s="322"/>
      <c r="C13" s="322"/>
      <c r="D13" s="322"/>
      <c r="E13" s="322"/>
      <c r="F13" s="322"/>
      <c r="I13" s="221"/>
      <c r="J13" s="221"/>
    </row>
    <row r="14" spans="1:13" ht="16.5" thickBot="1">
      <c r="A14" s="321" t="s">
        <v>199</v>
      </c>
      <c r="B14" s="320">
        <v>2012</v>
      </c>
      <c r="C14" s="319">
        <v>2013</v>
      </c>
      <c r="D14" s="320">
        <v>2014</v>
      </c>
      <c r="E14" s="319">
        <v>2015</v>
      </c>
      <c r="F14" s="318">
        <v>2016</v>
      </c>
      <c r="G14" s="318">
        <v>2017</v>
      </c>
      <c r="H14" s="318">
        <v>2018</v>
      </c>
      <c r="I14" s="318">
        <v>2019</v>
      </c>
      <c r="J14" s="318">
        <v>2020</v>
      </c>
      <c r="K14" s="674">
        <v>2021</v>
      </c>
      <c r="L14" s="674">
        <v>2022</v>
      </c>
      <c r="M14" s="674">
        <v>2023</v>
      </c>
    </row>
    <row r="15" spans="1:13" ht="15.75">
      <c r="A15" s="317" t="s">
        <v>195</v>
      </c>
      <c r="B15" s="316">
        <v>829.9</v>
      </c>
      <c r="C15" s="316">
        <v>692.791</v>
      </c>
      <c r="D15" s="697">
        <v>611.081</v>
      </c>
      <c r="E15" s="697">
        <v>659.512</v>
      </c>
      <c r="F15" s="698">
        <v>614.178</v>
      </c>
      <c r="G15" s="699">
        <v>610</v>
      </c>
      <c r="H15" s="698">
        <v>734</v>
      </c>
      <c r="I15" s="697">
        <v>600</v>
      </c>
      <c r="J15" s="720">
        <v>600</v>
      </c>
      <c r="K15" s="697">
        <v>600</v>
      </c>
      <c r="L15" s="676">
        <v>0</v>
      </c>
      <c r="M15" s="680">
        <v>0</v>
      </c>
    </row>
    <row r="16" spans="1:13" ht="15.75">
      <c r="A16" s="242" t="s">
        <v>196</v>
      </c>
      <c r="B16" s="315">
        <v>41.41</v>
      </c>
      <c r="C16" s="315">
        <v>45.21</v>
      </c>
      <c r="D16" s="700">
        <v>35.796</v>
      </c>
      <c r="E16" s="700">
        <v>32.183</v>
      </c>
      <c r="F16" s="701">
        <v>37.173</v>
      </c>
      <c r="G16" s="709">
        <v>10.95</v>
      </c>
      <c r="H16" s="706">
        <v>10</v>
      </c>
      <c r="I16" s="709">
        <v>40</v>
      </c>
      <c r="J16" s="711">
        <v>40</v>
      </c>
      <c r="K16" s="709">
        <v>50</v>
      </c>
      <c r="L16" s="364">
        <v>0</v>
      </c>
      <c r="M16" s="684">
        <v>0</v>
      </c>
    </row>
    <row r="17" spans="1:13" ht="15.75">
      <c r="A17" s="242" t="s">
        <v>197</v>
      </c>
      <c r="B17" s="315">
        <v>173.2</v>
      </c>
      <c r="C17" s="315">
        <v>165</v>
      </c>
      <c r="D17" s="700">
        <v>209.6</v>
      </c>
      <c r="E17" s="700">
        <v>177.8</v>
      </c>
      <c r="F17" s="701">
        <v>230.2</v>
      </c>
      <c r="G17" s="709">
        <v>271.5</v>
      </c>
      <c r="H17" s="706">
        <v>200</v>
      </c>
      <c r="I17" s="709">
        <v>200</v>
      </c>
      <c r="J17" s="711">
        <v>200</v>
      </c>
      <c r="K17" s="709">
        <v>250</v>
      </c>
      <c r="L17" s="364">
        <v>0</v>
      </c>
      <c r="M17" s="684">
        <v>0</v>
      </c>
    </row>
    <row r="18" spans="1:13" ht="15.75">
      <c r="A18" s="314" t="s">
        <v>198</v>
      </c>
      <c r="B18" s="313">
        <v>44.995</v>
      </c>
      <c r="C18" s="313">
        <v>169</v>
      </c>
      <c r="D18" s="700">
        <v>190.667</v>
      </c>
      <c r="E18" s="700">
        <v>137.565</v>
      </c>
      <c r="F18" s="701">
        <v>89.3</v>
      </c>
      <c r="G18" s="700">
        <v>170.835</v>
      </c>
      <c r="H18" s="707">
        <v>126.422</v>
      </c>
      <c r="I18" s="704">
        <v>0</v>
      </c>
      <c r="J18" s="721">
        <v>200</v>
      </c>
      <c r="K18" s="700">
        <v>200</v>
      </c>
      <c r="L18" s="364">
        <v>0</v>
      </c>
      <c r="M18" s="684">
        <v>0</v>
      </c>
    </row>
    <row r="19" spans="1:13" ht="16.5" thickBot="1">
      <c r="A19" s="686" t="s">
        <v>357</v>
      </c>
      <c r="B19" s="313">
        <v>44.995</v>
      </c>
      <c r="C19" s="313">
        <v>169</v>
      </c>
      <c r="D19" s="702">
        <v>0</v>
      </c>
      <c r="E19" s="702">
        <v>0</v>
      </c>
      <c r="F19" s="703">
        <v>14.937</v>
      </c>
      <c r="G19" s="719">
        <v>22.544</v>
      </c>
      <c r="H19" s="708">
        <v>25</v>
      </c>
      <c r="I19" s="710">
        <v>19</v>
      </c>
      <c r="J19" s="712">
        <v>19</v>
      </c>
      <c r="K19" s="710">
        <v>18</v>
      </c>
      <c r="L19" s="687">
        <v>0</v>
      </c>
      <c r="M19" s="691">
        <v>0</v>
      </c>
    </row>
    <row r="20" spans="1:13" ht="16.5" thickBot="1">
      <c r="A20" s="312" t="s">
        <v>200</v>
      </c>
      <c r="B20" s="311">
        <f aca="true" t="shared" si="1" ref="B20:H20">SUM(B15:B19)</f>
        <v>1134.4999999999998</v>
      </c>
      <c r="C20" s="311">
        <f t="shared" si="1"/>
        <v>1241.0010000000002</v>
      </c>
      <c r="D20" s="367">
        <f t="shared" si="1"/>
        <v>1047.144</v>
      </c>
      <c r="E20" s="367">
        <f t="shared" si="1"/>
        <v>1007.06</v>
      </c>
      <c r="F20" s="368">
        <f t="shared" si="1"/>
        <v>985.7879999999999</v>
      </c>
      <c r="G20" s="368">
        <f t="shared" si="1"/>
        <v>1085.8290000000002</v>
      </c>
      <c r="H20" s="368">
        <f t="shared" si="1"/>
        <v>1095.422</v>
      </c>
      <c r="I20" s="368">
        <f>SUM(I15:I19)</f>
        <v>859</v>
      </c>
      <c r="J20" s="368">
        <f>SUM(J15:J19)</f>
        <v>1059</v>
      </c>
      <c r="K20" s="368">
        <f>SUM(K15:K19)</f>
        <v>1118</v>
      </c>
      <c r="L20" s="695">
        <f>SUM(L15:L19)</f>
        <v>0</v>
      </c>
      <c r="M20" s="695">
        <f>SUM(M15:M19)</f>
        <v>0</v>
      </c>
    </row>
    <row r="21" spans="9:10" ht="15.75">
      <c r="I21" s="221"/>
      <c r="J21" s="221"/>
    </row>
    <row r="32" ht="15.75">
      <c r="H32" s="212" t="s">
        <v>246</v>
      </c>
    </row>
  </sheetData>
  <sheetProtection/>
  <mergeCells count="3">
    <mergeCell ref="A1:F1"/>
    <mergeCell ref="A10:F10"/>
    <mergeCell ref="A12:M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8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40.25390625" style="187" customWidth="1"/>
    <col min="2" max="2" width="14.00390625" style="187" bestFit="1" customWidth="1"/>
    <col min="3" max="3" width="15.125" style="187" bestFit="1" customWidth="1"/>
    <col min="4" max="4" width="14.00390625" style="187" bestFit="1" customWidth="1"/>
    <col min="5" max="5" width="15.125" style="187" bestFit="1" customWidth="1"/>
    <col min="6" max="6" width="14.00390625" style="187" bestFit="1" customWidth="1"/>
    <col min="7" max="7" width="15.125" style="187" bestFit="1" customWidth="1"/>
    <col min="8" max="8" width="14.00390625" style="187" bestFit="1" customWidth="1"/>
    <col min="9" max="9" width="15.125" style="187" bestFit="1" customWidth="1"/>
    <col min="10" max="10" width="14.00390625" style="187" bestFit="1" customWidth="1"/>
    <col min="11" max="11" width="15.125" style="187" bestFit="1" customWidth="1"/>
    <col min="12" max="12" width="14.00390625" style="187" bestFit="1" customWidth="1"/>
    <col min="13" max="13" width="15.00390625" style="187" customWidth="1"/>
    <col min="14" max="14" width="11.00390625" style="187" customWidth="1"/>
    <col min="15" max="15" width="15.875" style="187" customWidth="1"/>
    <col min="16" max="16384" width="9.125" style="187" customWidth="1"/>
  </cols>
  <sheetData>
    <row r="1" spans="1:12" ht="50.25" customHeight="1">
      <c r="A1" s="1351" t="s">
        <v>422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</row>
    <row r="2" spans="11:14" ht="15.75">
      <c r="K2" s="769"/>
      <c r="L2" s="769"/>
      <c r="M2" s="769"/>
      <c r="N2" s="769"/>
    </row>
    <row r="3" spans="11:14" ht="16.5" thickBot="1">
      <c r="K3" s="769"/>
      <c r="L3" s="769"/>
      <c r="M3" s="769"/>
      <c r="N3" s="769"/>
    </row>
    <row r="4" spans="1:14" ht="15.75" customHeight="1" thickBot="1">
      <c r="A4" s="1352" t="s">
        <v>423</v>
      </c>
      <c r="B4" s="1354" t="s">
        <v>424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6"/>
      <c r="M4" s="769"/>
      <c r="N4" s="769"/>
    </row>
    <row r="5" spans="1:12" ht="47.25">
      <c r="A5" s="1353"/>
      <c r="B5" s="770" t="s">
        <v>425</v>
      </c>
      <c r="C5" s="771" t="s">
        <v>426</v>
      </c>
      <c r="D5" s="772" t="s">
        <v>427</v>
      </c>
      <c r="E5" s="773" t="s">
        <v>428</v>
      </c>
      <c r="F5" s="770" t="s">
        <v>429</v>
      </c>
      <c r="G5" s="773" t="s">
        <v>430</v>
      </c>
      <c r="H5" s="770" t="s">
        <v>431</v>
      </c>
      <c r="I5" s="773" t="s">
        <v>432</v>
      </c>
      <c r="J5" s="770" t="s">
        <v>433</v>
      </c>
      <c r="K5" s="773" t="s">
        <v>434</v>
      </c>
      <c r="L5" s="774" t="s">
        <v>435</v>
      </c>
    </row>
    <row r="6" spans="1:12" ht="16.5" thickBot="1">
      <c r="A6" s="775" t="s">
        <v>436</v>
      </c>
      <c r="B6" s="776">
        <f>B7+B10</f>
        <v>4814</v>
      </c>
      <c r="C6" s="777">
        <f>C7+C10</f>
        <v>4848</v>
      </c>
      <c r="D6" s="778">
        <f>D7+D10</f>
        <v>4882</v>
      </c>
      <c r="E6" s="777">
        <f>E7+E10</f>
        <v>4753</v>
      </c>
      <c r="F6" s="776">
        <f>F7+F10</f>
        <v>4692</v>
      </c>
      <c r="G6" s="779">
        <f>ROUNDDOWN((F6+H6)/2,0)</f>
        <v>4713</v>
      </c>
      <c r="H6" s="776">
        <f>H7+H10</f>
        <v>4734</v>
      </c>
      <c r="I6" s="780">
        <f>ROUNDDOWN((H6+J6)/2,0)</f>
        <v>2367</v>
      </c>
      <c r="J6" s="776">
        <f>J7+J10</f>
        <v>0</v>
      </c>
      <c r="K6" s="781">
        <f aca="true" t="shared" si="0" ref="K6:K16">ROUND((J6+L6)/2,0)</f>
        <v>0</v>
      </c>
      <c r="L6" s="782">
        <f>L7+L10</f>
        <v>0</v>
      </c>
    </row>
    <row r="7" spans="1:12" ht="15.75">
      <c r="A7" s="783" t="s">
        <v>437</v>
      </c>
      <c r="B7" s="784">
        <f aca="true" t="shared" si="1" ref="B7:L7">B8+B9</f>
        <v>2970</v>
      </c>
      <c r="C7" s="785">
        <f>C8+C9</f>
        <v>3026</v>
      </c>
      <c r="D7" s="786">
        <f t="shared" si="1"/>
        <v>3082</v>
      </c>
      <c r="E7" s="785">
        <f>E8+E9</f>
        <v>2958</v>
      </c>
      <c r="F7" s="786">
        <f t="shared" si="1"/>
        <v>2947</v>
      </c>
      <c r="G7" s="787">
        <f aca="true" t="shared" si="2" ref="G7:I16">ROUND((F7+H7)/2,0)</f>
        <v>2993</v>
      </c>
      <c r="H7" s="784">
        <f t="shared" si="1"/>
        <v>3039</v>
      </c>
      <c r="I7" s="788">
        <f t="shared" si="2"/>
        <v>1520</v>
      </c>
      <c r="J7" s="784">
        <f t="shared" si="1"/>
        <v>0</v>
      </c>
      <c r="K7" s="789">
        <f t="shared" si="0"/>
        <v>0</v>
      </c>
      <c r="L7" s="790">
        <f t="shared" si="1"/>
        <v>0</v>
      </c>
    </row>
    <row r="8" spans="1:12" ht="15.75">
      <c r="A8" s="791" t="s">
        <v>438</v>
      </c>
      <c r="B8" s="792">
        <v>2815</v>
      </c>
      <c r="C8" s="793">
        <f>ROUNDDOWN((B8+D8)/2,0)</f>
        <v>2873</v>
      </c>
      <c r="D8" s="794">
        <v>2932</v>
      </c>
      <c r="E8" s="793">
        <f>ROUNDDOWN((B8+F8)/2,0)</f>
        <v>2809</v>
      </c>
      <c r="F8" s="792">
        <v>2803</v>
      </c>
      <c r="G8" s="795">
        <f t="shared" si="2"/>
        <v>2851</v>
      </c>
      <c r="H8" s="792">
        <v>2899</v>
      </c>
      <c r="I8" s="796">
        <f t="shared" si="2"/>
        <v>1450</v>
      </c>
      <c r="J8" s="792">
        <v>0</v>
      </c>
      <c r="K8" s="797">
        <f t="shared" si="0"/>
        <v>0</v>
      </c>
      <c r="L8" s="798">
        <v>0</v>
      </c>
    </row>
    <row r="9" spans="1:12" ht="16.5" thickBot="1">
      <c r="A9" s="799" t="s">
        <v>439</v>
      </c>
      <c r="B9" s="800">
        <v>155</v>
      </c>
      <c r="C9" s="801">
        <f>ROUND((B9+D9)/2,0)</f>
        <v>153</v>
      </c>
      <c r="D9" s="802">
        <v>150</v>
      </c>
      <c r="E9" s="793">
        <f>ROUNDDOWN((B9+F9)/2,0)</f>
        <v>149</v>
      </c>
      <c r="F9" s="800">
        <v>144</v>
      </c>
      <c r="G9" s="803">
        <f t="shared" si="2"/>
        <v>142</v>
      </c>
      <c r="H9" s="800">
        <v>140</v>
      </c>
      <c r="I9" s="804">
        <f t="shared" si="2"/>
        <v>70</v>
      </c>
      <c r="J9" s="800">
        <v>0</v>
      </c>
      <c r="K9" s="805">
        <f t="shared" si="0"/>
        <v>0</v>
      </c>
      <c r="L9" s="806">
        <v>0</v>
      </c>
    </row>
    <row r="10" spans="1:12" ht="15.75">
      <c r="A10" s="807" t="s">
        <v>440</v>
      </c>
      <c r="B10" s="784">
        <f>SUM(B11:B16)</f>
        <v>1844</v>
      </c>
      <c r="C10" s="785">
        <f>SUM(C11:C16)</f>
        <v>1822</v>
      </c>
      <c r="D10" s="786">
        <f>SUM(D11:D16)</f>
        <v>1800</v>
      </c>
      <c r="E10" s="785">
        <f>SUM(E11:E16)</f>
        <v>1795</v>
      </c>
      <c r="F10" s="786">
        <f>SUM(F11:F16)</f>
        <v>1745</v>
      </c>
      <c r="G10" s="787">
        <f t="shared" si="2"/>
        <v>1720</v>
      </c>
      <c r="H10" s="786">
        <f>SUM(H11:H16)</f>
        <v>1695</v>
      </c>
      <c r="I10" s="788">
        <f t="shared" si="2"/>
        <v>848</v>
      </c>
      <c r="J10" s="784">
        <f>SUM(J11:J16)</f>
        <v>0</v>
      </c>
      <c r="K10" s="789">
        <f t="shared" si="0"/>
        <v>0</v>
      </c>
      <c r="L10" s="790">
        <f>SUM(L11:L16)</f>
        <v>0</v>
      </c>
    </row>
    <row r="11" spans="1:12" ht="15.75">
      <c r="A11" s="791" t="s">
        <v>441</v>
      </c>
      <c r="B11" s="792">
        <v>416</v>
      </c>
      <c r="C11" s="793">
        <f>ROUND((B11+D11)/2,0)</f>
        <v>410</v>
      </c>
      <c r="D11" s="794">
        <v>404</v>
      </c>
      <c r="E11" s="793">
        <f>ROUND((B11+F11)/2,0)</f>
        <v>405</v>
      </c>
      <c r="F11" s="792">
        <v>394</v>
      </c>
      <c r="G11" s="795">
        <f t="shared" si="2"/>
        <v>387</v>
      </c>
      <c r="H11" s="792">
        <v>380</v>
      </c>
      <c r="I11" s="796">
        <f t="shared" si="2"/>
        <v>190</v>
      </c>
      <c r="J11" s="792">
        <v>0</v>
      </c>
      <c r="K11" s="808">
        <f t="shared" si="0"/>
        <v>0</v>
      </c>
      <c r="L11" s="798">
        <v>0</v>
      </c>
    </row>
    <row r="12" spans="1:12" ht="15.75">
      <c r="A12" s="791" t="s">
        <v>442</v>
      </c>
      <c r="B12" s="792">
        <v>166</v>
      </c>
      <c r="C12" s="793">
        <f>ROUND((B12+D12)/2,0)</f>
        <v>168</v>
      </c>
      <c r="D12" s="794">
        <v>170</v>
      </c>
      <c r="E12" s="793">
        <f>ROUND((B12+F12)/2,0)</f>
        <v>164</v>
      </c>
      <c r="F12" s="792">
        <v>162</v>
      </c>
      <c r="G12" s="795">
        <f t="shared" si="2"/>
        <v>163</v>
      </c>
      <c r="H12" s="792">
        <v>163</v>
      </c>
      <c r="I12" s="796">
        <f t="shared" si="2"/>
        <v>82</v>
      </c>
      <c r="J12" s="792">
        <v>0</v>
      </c>
      <c r="K12" s="797">
        <f t="shared" si="0"/>
        <v>0</v>
      </c>
      <c r="L12" s="798">
        <v>0</v>
      </c>
    </row>
    <row r="13" spans="1:12" ht="15.75">
      <c r="A13" s="791" t="s">
        <v>443</v>
      </c>
      <c r="B13" s="792">
        <v>335</v>
      </c>
      <c r="C13" s="793">
        <f>ROUNDDOWN((B13+D13)/2,0)</f>
        <v>333</v>
      </c>
      <c r="D13" s="794">
        <v>331</v>
      </c>
      <c r="E13" s="793">
        <f>ROUND((B13+F13)/2,0)</f>
        <v>325</v>
      </c>
      <c r="F13" s="792">
        <v>315</v>
      </c>
      <c r="G13" s="795">
        <f t="shared" si="2"/>
        <v>310</v>
      </c>
      <c r="H13" s="792">
        <v>305</v>
      </c>
      <c r="I13" s="796">
        <f t="shared" si="2"/>
        <v>153</v>
      </c>
      <c r="J13" s="792">
        <v>0</v>
      </c>
      <c r="K13" s="797">
        <f t="shared" si="0"/>
        <v>0</v>
      </c>
      <c r="L13" s="798">
        <v>0</v>
      </c>
    </row>
    <row r="14" spans="1:12" ht="15.75">
      <c r="A14" s="791" t="s">
        <v>444</v>
      </c>
      <c r="B14" s="792">
        <v>158</v>
      </c>
      <c r="C14" s="793">
        <f>ROUNDDOWN((B14+D14)/2,0)</f>
        <v>159</v>
      </c>
      <c r="D14" s="794">
        <v>161</v>
      </c>
      <c r="E14" s="793">
        <f>ROUNDDOWN((B14+F14)/2,0)</f>
        <v>159</v>
      </c>
      <c r="F14" s="792">
        <v>161</v>
      </c>
      <c r="G14" s="795">
        <f>ROUNDDOWN((F14+H14)/2,0)</f>
        <v>159</v>
      </c>
      <c r="H14" s="792">
        <v>157</v>
      </c>
      <c r="I14" s="796">
        <f t="shared" si="2"/>
        <v>79</v>
      </c>
      <c r="J14" s="792">
        <v>0</v>
      </c>
      <c r="K14" s="797">
        <f t="shared" si="0"/>
        <v>0</v>
      </c>
      <c r="L14" s="798">
        <v>0</v>
      </c>
    </row>
    <row r="15" spans="1:12" ht="15.75">
      <c r="A15" s="791" t="s">
        <v>445</v>
      </c>
      <c r="B15" s="792">
        <v>578</v>
      </c>
      <c r="C15" s="793">
        <f>ROUND((B15+D15)/2,0)</f>
        <v>560</v>
      </c>
      <c r="D15" s="794">
        <v>542</v>
      </c>
      <c r="E15" s="793">
        <f>ROUND((B15+F15)/2,0)</f>
        <v>553</v>
      </c>
      <c r="F15" s="792">
        <v>527</v>
      </c>
      <c r="G15" s="795">
        <f>ROUNDDOWN((F15+H15)/2,0)</f>
        <v>516</v>
      </c>
      <c r="H15" s="792">
        <v>506</v>
      </c>
      <c r="I15" s="796">
        <f t="shared" si="2"/>
        <v>253</v>
      </c>
      <c r="J15" s="792">
        <v>0</v>
      </c>
      <c r="K15" s="797">
        <f t="shared" si="0"/>
        <v>0</v>
      </c>
      <c r="L15" s="798">
        <v>0</v>
      </c>
    </row>
    <row r="16" spans="1:12" ht="16.5" thickBot="1">
      <c r="A16" s="799" t="s">
        <v>446</v>
      </c>
      <c r="B16" s="800">
        <v>191</v>
      </c>
      <c r="C16" s="801">
        <f>ROUND((B16+D16)/2,0)</f>
        <v>192</v>
      </c>
      <c r="D16" s="802">
        <v>192</v>
      </c>
      <c r="E16" s="793">
        <f>ROUND((B16+F16)/2,0)</f>
        <v>189</v>
      </c>
      <c r="F16" s="800">
        <v>186</v>
      </c>
      <c r="G16" s="803">
        <f t="shared" si="2"/>
        <v>185</v>
      </c>
      <c r="H16" s="800">
        <v>184</v>
      </c>
      <c r="I16" s="804">
        <f t="shared" si="2"/>
        <v>92</v>
      </c>
      <c r="J16" s="800">
        <v>0</v>
      </c>
      <c r="K16" s="805">
        <f t="shared" si="0"/>
        <v>0</v>
      </c>
      <c r="L16" s="806">
        <v>0</v>
      </c>
    </row>
    <row r="17" spans="1:16" ht="15.75">
      <c r="A17" s="222"/>
      <c r="K17" s="769"/>
      <c r="L17" s="769"/>
      <c r="M17" s="769"/>
      <c r="N17" s="769"/>
      <c r="O17" s="769"/>
      <c r="P17" s="769"/>
    </row>
    <row r="18" spans="5:16" ht="15.75">
      <c r="E18" s="809"/>
      <c r="F18" s="809"/>
      <c r="G18" s="809"/>
      <c r="H18" s="809"/>
      <c r="K18" s="769"/>
      <c r="L18" s="769"/>
      <c r="M18" s="769"/>
      <c r="N18" s="769"/>
      <c r="O18" s="769"/>
      <c r="P18" s="769"/>
    </row>
    <row r="19" spans="5:16" ht="15.75">
      <c r="E19" s="809"/>
      <c r="K19" s="769"/>
      <c r="L19" s="769"/>
      <c r="M19" s="769"/>
      <c r="N19" s="769"/>
      <c r="O19" s="769"/>
      <c r="P19" s="769"/>
    </row>
    <row r="20" spans="1:14" ht="15.75">
      <c r="A20" s="810" t="s">
        <v>447</v>
      </c>
      <c r="B20" s="188"/>
      <c r="C20" s="188"/>
      <c r="D20" s="188"/>
      <c r="E20" s="811"/>
      <c r="H20" s="809"/>
      <c r="K20" s="769"/>
      <c r="L20" s="769"/>
      <c r="M20" s="769"/>
      <c r="N20" s="769"/>
    </row>
    <row r="21" spans="1:8" s="769" customFormat="1" ht="15.75">
      <c r="A21" s="812" t="s">
        <v>448</v>
      </c>
      <c r="B21" s="813"/>
      <c r="C21" s="813"/>
      <c r="D21" s="813"/>
      <c r="E21" s="814"/>
      <c r="G21" s="815"/>
      <c r="H21" s="816"/>
    </row>
    <row r="22" spans="1:7" s="769" customFormat="1" ht="15.75">
      <c r="A22" s="817" t="s">
        <v>449</v>
      </c>
      <c r="B22" s="818"/>
      <c r="C22" s="819"/>
      <c r="D22" s="819"/>
      <c r="E22" s="820"/>
      <c r="G22" s="815"/>
    </row>
    <row r="23" spans="1:7" s="769" customFormat="1" ht="15.75">
      <c r="A23" s="821"/>
      <c r="B23" s="822"/>
      <c r="C23" s="819"/>
      <c r="D23" s="819"/>
      <c r="E23" s="823"/>
      <c r="F23" s="824"/>
      <c r="G23" s="815"/>
    </row>
    <row r="24" spans="1:6" s="769" customFormat="1" ht="15.75">
      <c r="A24" s="825"/>
      <c r="B24" s="818"/>
      <c r="C24" s="826"/>
      <c r="D24" s="826"/>
      <c r="E24" s="823"/>
      <c r="F24" s="824"/>
    </row>
    <row r="25" spans="1:6" s="769" customFormat="1" ht="15.75">
      <c r="A25" s="825"/>
      <c r="B25" s="818"/>
      <c r="C25" s="826"/>
      <c r="D25" s="826"/>
      <c r="E25" s="818"/>
      <c r="F25" s="824"/>
    </row>
    <row r="26" spans="1:5" s="769" customFormat="1" ht="15.75">
      <c r="A26" s="825"/>
      <c r="B26" s="818"/>
      <c r="C26" s="819"/>
      <c r="D26" s="818"/>
      <c r="E26" s="818"/>
    </row>
    <row r="27" spans="1:5" s="769" customFormat="1" ht="15.75">
      <c r="A27" s="821"/>
      <c r="B27" s="823"/>
      <c r="C27" s="826"/>
      <c r="D27" s="823"/>
      <c r="E27" s="823"/>
    </row>
    <row r="28" spans="1:5" s="769" customFormat="1" ht="15.75">
      <c r="A28" s="821"/>
      <c r="B28" s="823"/>
      <c r="C28" s="826"/>
      <c r="D28" s="823"/>
      <c r="E28" s="823"/>
    </row>
    <row r="29" spans="1:5" s="769" customFormat="1" ht="15.75">
      <c r="A29" s="825"/>
      <c r="B29" s="818"/>
      <c r="C29" s="826"/>
      <c r="D29" s="818"/>
      <c r="E29" s="818"/>
    </row>
    <row r="30" spans="1:5" s="769" customFormat="1" ht="15.75">
      <c r="A30" s="825"/>
      <c r="B30" s="818"/>
      <c r="C30" s="826"/>
      <c r="D30" s="818"/>
      <c r="E30" s="818"/>
    </row>
    <row r="31" spans="1:5" s="769" customFormat="1" ht="15.75">
      <c r="A31" s="827"/>
      <c r="B31" s="823"/>
      <c r="C31" s="826"/>
      <c r="D31" s="823"/>
      <c r="E31" s="823"/>
    </row>
    <row r="32" spans="1:5" s="769" customFormat="1" ht="15.75">
      <c r="A32" s="825"/>
      <c r="B32" s="818"/>
      <c r="C32" s="826"/>
      <c r="D32" s="818"/>
      <c r="E32" s="818"/>
    </row>
    <row r="33" spans="1:5" s="769" customFormat="1" ht="15.75">
      <c r="A33" s="825"/>
      <c r="B33" s="828"/>
      <c r="C33" s="828"/>
      <c r="D33" s="828"/>
      <c r="E33" s="828"/>
    </row>
    <row r="34" spans="1:5" s="769" customFormat="1" ht="15.75">
      <c r="A34" s="825"/>
      <c r="B34" s="828"/>
      <c r="C34" s="828"/>
      <c r="D34" s="828"/>
      <c r="E34" s="828"/>
    </row>
    <row r="35" spans="1:5" s="769" customFormat="1" ht="15.75">
      <c r="A35" s="825"/>
      <c r="B35" s="828"/>
      <c r="C35" s="828"/>
      <c r="D35" s="828"/>
      <c r="E35" s="828"/>
    </row>
    <row r="36" spans="1:5" s="769" customFormat="1" ht="15.75">
      <c r="A36" s="825"/>
      <c r="B36" s="828"/>
      <c r="C36" s="828"/>
      <c r="D36" s="828"/>
      <c r="E36" s="828"/>
    </row>
    <row r="37" spans="1:5" s="769" customFormat="1" ht="15.75">
      <c r="A37" s="827"/>
      <c r="B37" s="829"/>
      <c r="C37" s="829"/>
      <c r="D37" s="829"/>
      <c r="E37" s="829"/>
    </row>
    <row r="38" spans="1:5" s="769" customFormat="1" ht="15.75">
      <c r="A38" s="825"/>
      <c r="B38" s="828"/>
      <c r="C38" s="828"/>
      <c r="D38" s="828"/>
      <c r="E38" s="828"/>
    </row>
    <row r="39" s="769" customFormat="1" ht="15.75"/>
    <row r="40" s="769" customFormat="1" ht="15.75"/>
    <row r="41" s="769" customFormat="1" ht="15.75"/>
  </sheetData>
  <sheetProtection/>
  <mergeCells count="3">
    <mergeCell ref="A1:L1"/>
    <mergeCell ref="A4:A5"/>
    <mergeCell ref="B4:L4"/>
  </mergeCells>
  <hyperlinks>
    <hyperlink ref="A22" r:id="rId1" display="mailto:D.Gaidukov@go-egvekinot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48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74.00390625" style="187" customWidth="1"/>
    <col min="2" max="3" width="16.00390625" style="187" customWidth="1"/>
    <col min="4" max="4" width="16.875" style="187" customWidth="1"/>
    <col min="5" max="5" width="15.625" style="187" customWidth="1"/>
    <col min="6" max="6" width="14.00390625" style="187" bestFit="1" customWidth="1"/>
    <col min="7" max="7" width="16.75390625" style="187" customWidth="1"/>
    <col min="8" max="8" width="14.00390625" style="187" bestFit="1" customWidth="1"/>
    <col min="9" max="9" width="16.625" style="187" customWidth="1"/>
    <col min="10" max="10" width="14.125" style="187" customWidth="1"/>
    <col min="11" max="11" width="15.875" style="187" customWidth="1"/>
    <col min="12" max="16384" width="9.125" style="187" customWidth="1"/>
  </cols>
  <sheetData>
    <row r="1" spans="1:10" ht="51.75" customHeight="1">
      <c r="A1" s="1351" t="s">
        <v>450</v>
      </c>
      <c r="B1" s="1351"/>
      <c r="C1" s="1351"/>
      <c r="D1" s="1351"/>
      <c r="E1" s="1351"/>
      <c r="F1" s="1351"/>
      <c r="G1" s="1351"/>
      <c r="H1" s="1351"/>
      <c r="I1" s="1351"/>
      <c r="J1" s="1351"/>
    </row>
    <row r="2" ht="15.75">
      <c r="J2" s="769"/>
    </row>
    <row r="3" ht="16.5" thickBot="1">
      <c r="J3" s="769"/>
    </row>
    <row r="4" spans="1:10" ht="15.75" customHeight="1" thickBot="1">
      <c r="A4" s="1357" t="s">
        <v>423</v>
      </c>
      <c r="B4" s="1359" t="s">
        <v>424</v>
      </c>
      <c r="C4" s="1359"/>
      <c r="D4" s="1359"/>
      <c r="E4" s="1359"/>
      <c r="F4" s="1359"/>
      <c r="G4" s="1359"/>
      <c r="H4" s="1359"/>
      <c r="I4" s="1359"/>
      <c r="J4" s="1360"/>
    </row>
    <row r="5" spans="1:15" ht="32.25" thickBot="1">
      <c r="A5" s="1358"/>
      <c r="B5" s="830" t="s">
        <v>451</v>
      </c>
      <c r="C5" s="831" t="s">
        <v>452</v>
      </c>
      <c r="D5" s="830" t="s">
        <v>453</v>
      </c>
      <c r="E5" s="831" t="s">
        <v>454</v>
      </c>
      <c r="F5" s="830" t="s">
        <v>455</v>
      </c>
      <c r="G5" s="831" t="s">
        <v>456</v>
      </c>
      <c r="H5" s="830" t="s">
        <v>457</v>
      </c>
      <c r="I5" s="831" t="s">
        <v>458</v>
      </c>
      <c r="J5" s="832" t="s">
        <v>425</v>
      </c>
      <c r="K5" s="828"/>
      <c r="L5" s="833"/>
      <c r="M5" s="769"/>
      <c r="N5" s="769"/>
      <c r="O5" s="769"/>
    </row>
    <row r="6" spans="1:15" ht="16.5" thickBot="1">
      <c r="A6" s="834" t="s">
        <v>459</v>
      </c>
      <c r="B6" s="835">
        <f>B7+B10+B16</f>
        <v>5352</v>
      </c>
      <c r="C6" s="836">
        <f>C7+C10+C16</f>
        <v>5247</v>
      </c>
      <c r="D6" s="835">
        <f aca="true" t="shared" si="0" ref="D6:J6">D7+D10+D16</f>
        <v>5141</v>
      </c>
      <c r="E6" s="836">
        <f>E7+E10+E16</f>
        <v>5169</v>
      </c>
      <c r="F6" s="835">
        <f t="shared" si="0"/>
        <v>5197</v>
      </c>
      <c r="G6" s="836">
        <f>G7+G10+G16</f>
        <v>5160</v>
      </c>
      <c r="H6" s="835">
        <f t="shared" si="0"/>
        <v>5122</v>
      </c>
      <c r="I6" s="836">
        <f>I7+I10+I16</f>
        <v>4968</v>
      </c>
      <c r="J6" s="837">
        <f t="shared" si="0"/>
        <v>4814</v>
      </c>
      <c r="K6" s="838"/>
      <c r="L6" s="838"/>
      <c r="M6" s="838"/>
      <c r="N6" s="838"/>
      <c r="O6" s="769"/>
    </row>
    <row r="7" spans="1:15" ht="15.75">
      <c r="A7" s="783" t="s">
        <v>460</v>
      </c>
      <c r="B7" s="784">
        <f>B8+B9</f>
        <v>3168</v>
      </c>
      <c r="C7" s="789">
        <f>C8+C9</f>
        <v>3113</v>
      </c>
      <c r="D7" s="784">
        <f aca="true" t="shared" si="1" ref="D7:J7">D8+D9</f>
        <v>3058</v>
      </c>
      <c r="E7" s="789">
        <f>E8+E9</f>
        <v>3126</v>
      </c>
      <c r="F7" s="784">
        <f t="shared" si="1"/>
        <v>3193</v>
      </c>
      <c r="G7" s="789">
        <f>G8+G9</f>
        <v>3197</v>
      </c>
      <c r="H7" s="784">
        <f t="shared" si="1"/>
        <v>3200</v>
      </c>
      <c r="I7" s="789">
        <f>I8+I9</f>
        <v>3085</v>
      </c>
      <c r="J7" s="790">
        <f t="shared" si="1"/>
        <v>2970</v>
      </c>
      <c r="K7" s="838"/>
      <c r="L7" s="838"/>
      <c r="M7" s="838"/>
      <c r="N7" s="838"/>
      <c r="O7" s="769"/>
    </row>
    <row r="8" spans="1:15" ht="15.75">
      <c r="A8" s="791" t="s">
        <v>438</v>
      </c>
      <c r="B8" s="792">
        <v>2756</v>
      </c>
      <c r="C8" s="797">
        <f aca="true" t="shared" si="2" ref="C8:C17">ROUND((B8+D8)/2,0)</f>
        <v>2745</v>
      </c>
      <c r="D8" s="792">
        <v>2734</v>
      </c>
      <c r="E8" s="797">
        <f>ROUND((D8+F8)/2,0)</f>
        <v>2845</v>
      </c>
      <c r="F8" s="792">
        <v>2955</v>
      </c>
      <c r="G8" s="797">
        <f>ROUND((F8+H8)/2,0)</f>
        <v>2995</v>
      </c>
      <c r="H8" s="792">
        <v>3034</v>
      </c>
      <c r="I8" s="797">
        <f>ROUNDDOWN((H8+J8)/2,0)</f>
        <v>2924</v>
      </c>
      <c r="J8" s="798">
        <v>2815</v>
      </c>
      <c r="K8" s="833"/>
      <c r="L8" s="833"/>
      <c r="M8" s="833"/>
      <c r="N8" s="833"/>
      <c r="O8" s="769"/>
    </row>
    <row r="9" spans="1:15" ht="16.5" thickBot="1">
      <c r="A9" s="799" t="s">
        <v>439</v>
      </c>
      <c r="B9" s="800">
        <v>412</v>
      </c>
      <c r="C9" s="805">
        <f t="shared" si="2"/>
        <v>368</v>
      </c>
      <c r="D9" s="800">
        <v>324</v>
      </c>
      <c r="E9" s="805">
        <f>ROUND((D9+F9)/2,0)</f>
        <v>281</v>
      </c>
      <c r="F9" s="800">
        <v>238</v>
      </c>
      <c r="G9" s="805">
        <f>ROUND((F9+H9)/2,0)</f>
        <v>202</v>
      </c>
      <c r="H9" s="800">
        <v>166</v>
      </c>
      <c r="I9" s="805">
        <f>ROUND((H9+J9)/2,0)</f>
        <v>161</v>
      </c>
      <c r="J9" s="806">
        <v>155</v>
      </c>
      <c r="K9" s="833"/>
      <c r="L9" s="833"/>
      <c r="M9" s="833"/>
      <c r="N9" s="833"/>
      <c r="O9" s="769"/>
    </row>
    <row r="10" spans="1:15" ht="15.75">
      <c r="A10" s="807" t="s">
        <v>461</v>
      </c>
      <c r="B10" s="784">
        <f>B11+B12+B13+B14+B15</f>
        <v>2023</v>
      </c>
      <c r="C10" s="789">
        <f>C11+C12+C13+C14+C15</f>
        <v>1974</v>
      </c>
      <c r="D10" s="784">
        <f aca="true" t="shared" si="3" ref="D10:J10">D11+D12+D13+D14+D15</f>
        <v>1924</v>
      </c>
      <c r="E10" s="789">
        <f>E11+E12+E13+E14+E15</f>
        <v>1885</v>
      </c>
      <c r="F10" s="784">
        <f t="shared" si="3"/>
        <v>1847</v>
      </c>
      <c r="G10" s="789">
        <f>G11+G12+G13+G14+G15</f>
        <v>1805</v>
      </c>
      <c r="H10" s="784">
        <f t="shared" si="3"/>
        <v>1763</v>
      </c>
      <c r="I10" s="789">
        <f>I11+I12+I13+I14+I15</f>
        <v>1724</v>
      </c>
      <c r="J10" s="790">
        <f t="shared" si="3"/>
        <v>1686</v>
      </c>
      <c r="K10" s="838"/>
      <c r="L10" s="838"/>
      <c r="M10" s="838"/>
      <c r="N10" s="838"/>
      <c r="O10" s="769"/>
    </row>
    <row r="11" spans="1:15" ht="15.75">
      <c r="A11" s="791" t="s">
        <v>462</v>
      </c>
      <c r="B11" s="792">
        <v>503</v>
      </c>
      <c r="C11" s="797">
        <f t="shared" si="2"/>
        <v>493</v>
      </c>
      <c r="D11" s="792">
        <v>482</v>
      </c>
      <c r="E11" s="797">
        <f>ROUND((D11+F11)/2,0)</f>
        <v>471</v>
      </c>
      <c r="F11" s="792">
        <v>459</v>
      </c>
      <c r="G11" s="797">
        <f>ROUND((F11+H11)/2,0)</f>
        <v>447</v>
      </c>
      <c r="H11" s="792">
        <v>435</v>
      </c>
      <c r="I11" s="797">
        <f>ROUNDDOWN((H11+J11)/2,0)</f>
        <v>425</v>
      </c>
      <c r="J11" s="798">
        <v>416</v>
      </c>
      <c r="K11" s="833"/>
      <c r="L11" s="833"/>
      <c r="M11" s="833"/>
      <c r="N11" s="833"/>
      <c r="O11" s="769"/>
    </row>
    <row r="12" spans="1:15" ht="15.75">
      <c r="A12" s="791" t="s">
        <v>463</v>
      </c>
      <c r="B12" s="792">
        <v>184</v>
      </c>
      <c r="C12" s="797">
        <f t="shared" si="2"/>
        <v>180</v>
      </c>
      <c r="D12" s="792">
        <v>175</v>
      </c>
      <c r="E12" s="797">
        <f>ROUND((D12+F12)/2,0)</f>
        <v>175</v>
      </c>
      <c r="F12" s="792">
        <v>175</v>
      </c>
      <c r="G12" s="797">
        <f>ROUND((F12+H12)/2,0)</f>
        <v>172</v>
      </c>
      <c r="H12" s="792">
        <v>169</v>
      </c>
      <c r="I12" s="797">
        <f>ROUND((H12+J12)/2,0)</f>
        <v>168</v>
      </c>
      <c r="J12" s="798">
        <v>166</v>
      </c>
      <c r="K12" s="833"/>
      <c r="L12" s="833"/>
      <c r="M12" s="833"/>
      <c r="N12" s="833"/>
      <c r="O12" s="769"/>
    </row>
    <row r="13" spans="1:15" ht="15.75">
      <c r="A13" s="791" t="s">
        <v>464</v>
      </c>
      <c r="B13" s="792">
        <v>399</v>
      </c>
      <c r="C13" s="795">
        <f>ROUNDDOWN((B13+D13)/2,0)</f>
        <v>387</v>
      </c>
      <c r="D13" s="792">
        <v>376</v>
      </c>
      <c r="E13" s="795">
        <f>ROUNDDOWN((D13+F13)/2,0)</f>
        <v>371</v>
      </c>
      <c r="F13" s="792">
        <v>367</v>
      </c>
      <c r="G13" s="795">
        <f>ROUNDDOWN((F13+H13)/2,0)</f>
        <v>358</v>
      </c>
      <c r="H13" s="792">
        <v>350</v>
      </c>
      <c r="I13" s="795">
        <f>ROUNDDOWN((H13+J13)/2,0)</f>
        <v>342</v>
      </c>
      <c r="J13" s="798">
        <v>335</v>
      </c>
      <c r="K13" s="833"/>
      <c r="L13" s="833"/>
      <c r="M13" s="833"/>
      <c r="N13" s="833"/>
      <c r="O13" s="769"/>
    </row>
    <row r="14" spans="1:15" ht="15.75">
      <c r="A14" s="791" t="s">
        <v>465</v>
      </c>
      <c r="B14" s="792">
        <v>226</v>
      </c>
      <c r="C14" s="795">
        <f>ROUNDDOWN((B14+D14)/2,0)</f>
        <v>218</v>
      </c>
      <c r="D14" s="792">
        <v>211</v>
      </c>
      <c r="E14" s="795">
        <f>ROUNDDOWN((D14+F14)/2,0)</f>
        <v>210</v>
      </c>
      <c r="F14" s="792">
        <v>210</v>
      </c>
      <c r="G14" s="795">
        <f>ROUNDDOWN((F14+H14)/2,0)</f>
        <v>209</v>
      </c>
      <c r="H14" s="792">
        <v>208</v>
      </c>
      <c r="I14" s="795">
        <f>ROUNDDOWN((H14+J14)/2,0)</f>
        <v>199</v>
      </c>
      <c r="J14" s="798">
        <v>191</v>
      </c>
      <c r="K14" s="833"/>
      <c r="L14" s="833"/>
      <c r="M14" s="833"/>
      <c r="N14" s="833"/>
      <c r="O14" s="769"/>
    </row>
    <row r="15" spans="1:15" ht="16.5" thickBot="1">
      <c r="A15" s="799" t="s">
        <v>466</v>
      </c>
      <c r="B15" s="800">
        <v>711</v>
      </c>
      <c r="C15" s="805">
        <f t="shared" si="2"/>
        <v>696</v>
      </c>
      <c r="D15" s="800">
        <v>680</v>
      </c>
      <c r="E15" s="805">
        <f>ROUND((D15+F15)/2,0)</f>
        <v>658</v>
      </c>
      <c r="F15" s="800">
        <v>636</v>
      </c>
      <c r="G15" s="805">
        <f>ROUND((F15+H15)/2,0)</f>
        <v>619</v>
      </c>
      <c r="H15" s="800">
        <v>601</v>
      </c>
      <c r="I15" s="805">
        <f>ROUND((H15+J15)/2,0)</f>
        <v>590</v>
      </c>
      <c r="J15" s="806">
        <v>578</v>
      </c>
      <c r="K15" s="833"/>
      <c r="L15" s="833"/>
      <c r="M15" s="833"/>
      <c r="N15" s="833"/>
      <c r="O15" s="769"/>
    </row>
    <row r="16" spans="1:15" ht="15.75">
      <c r="A16" s="807" t="s">
        <v>467</v>
      </c>
      <c r="B16" s="784">
        <f>B17</f>
        <v>161</v>
      </c>
      <c r="C16" s="789">
        <f>C17</f>
        <v>160</v>
      </c>
      <c r="D16" s="784">
        <f aca="true" t="shared" si="4" ref="D16:J16">D17</f>
        <v>159</v>
      </c>
      <c r="E16" s="789">
        <f>E17</f>
        <v>158</v>
      </c>
      <c r="F16" s="784">
        <f t="shared" si="4"/>
        <v>157</v>
      </c>
      <c r="G16" s="789">
        <f>G17</f>
        <v>158</v>
      </c>
      <c r="H16" s="784">
        <f t="shared" si="4"/>
        <v>159</v>
      </c>
      <c r="I16" s="789">
        <f>I17</f>
        <v>159</v>
      </c>
      <c r="J16" s="790">
        <f t="shared" si="4"/>
        <v>158</v>
      </c>
      <c r="K16" s="838"/>
      <c r="L16" s="838"/>
      <c r="M16" s="838"/>
      <c r="N16" s="838"/>
      <c r="O16" s="769"/>
    </row>
    <row r="17" spans="1:15" ht="16.5" thickBot="1">
      <c r="A17" s="799" t="s">
        <v>444</v>
      </c>
      <c r="B17" s="800">
        <v>161</v>
      </c>
      <c r="C17" s="805">
        <f t="shared" si="2"/>
        <v>160</v>
      </c>
      <c r="D17" s="800">
        <v>159</v>
      </c>
      <c r="E17" s="805">
        <f>ROUND((D17+F17)/2,0)</f>
        <v>158</v>
      </c>
      <c r="F17" s="800">
        <v>157</v>
      </c>
      <c r="G17" s="805">
        <f>ROUND((F17+H17)/2,0)</f>
        <v>158</v>
      </c>
      <c r="H17" s="800">
        <v>159</v>
      </c>
      <c r="I17" s="805">
        <f>ROUND((H17+J17)/2,0)</f>
        <v>159</v>
      </c>
      <c r="J17" s="806">
        <v>158</v>
      </c>
      <c r="K17" s="833"/>
      <c r="L17" s="833"/>
      <c r="M17" s="833"/>
      <c r="N17" s="833"/>
      <c r="O17" s="769"/>
    </row>
    <row r="18" spans="10:12" ht="15.75">
      <c r="J18" s="769"/>
      <c r="K18" s="769"/>
      <c r="L18" s="769"/>
    </row>
    <row r="19" spans="10:12" ht="15.75">
      <c r="J19" s="769"/>
      <c r="K19" s="769"/>
      <c r="L19" s="769"/>
    </row>
    <row r="20" ht="15.75">
      <c r="J20" s="769"/>
    </row>
    <row r="21" spans="1:4" s="769" customFormat="1" ht="15.75">
      <c r="A21" s="810" t="s">
        <v>447</v>
      </c>
      <c r="B21" s="825"/>
      <c r="C21" s="825"/>
      <c r="D21" s="825"/>
    </row>
    <row r="22" spans="1:4" s="769" customFormat="1" ht="15.75">
      <c r="A22" s="812" t="s">
        <v>448</v>
      </c>
      <c r="B22" s="828"/>
      <c r="C22" s="839"/>
      <c r="D22" s="840"/>
    </row>
    <row r="23" spans="1:5" s="769" customFormat="1" ht="15.75">
      <c r="A23" s="817" t="s">
        <v>449</v>
      </c>
      <c r="B23" s="829"/>
      <c r="C23" s="839"/>
      <c r="D23" s="829"/>
      <c r="E23" s="824"/>
    </row>
    <row r="24" spans="1:5" s="769" customFormat="1" ht="15.75">
      <c r="A24" s="841"/>
      <c r="B24" s="828"/>
      <c r="C24" s="824"/>
      <c r="D24" s="828"/>
      <c r="E24" s="824"/>
    </row>
    <row r="25" spans="1:5" s="769" customFormat="1" ht="15.75">
      <c r="A25" s="841"/>
      <c r="B25" s="828"/>
      <c r="C25" s="824"/>
      <c r="D25" s="828"/>
      <c r="E25" s="824"/>
    </row>
    <row r="26" spans="1:5" s="769" customFormat="1" ht="15.75">
      <c r="A26" s="841"/>
      <c r="B26" s="828"/>
      <c r="C26" s="839"/>
      <c r="D26" s="828"/>
      <c r="E26" s="824"/>
    </row>
    <row r="27" spans="1:5" s="769" customFormat="1" ht="15.75">
      <c r="A27" s="825"/>
      <c r="B27" s="828"/>
      <c r="C27" s="824"/>
      <c r="D27" s="828"/>
      <c r="E27" s="824"/>
    </row>
    <row r="28" spans="1:5" s="769" customFormat="1" ht="15.75">
      <c r="A28" s="825"/>
      <c r="B28" s="828"/>
      <c r="C28" s="824"/>
      <c r="D28" s="828"/>
      <c r="E28" s="824"/>
    </row>
    <row r="29" spans="1:5" s="769" customFormat="1" ht="15.75">
      <c r="A29" s="825"/>
      <c r="B29" s="828"/>
      <c r="C29" s="824"/>
      <c r="D29" s="828"/>
      <c r="E29" s="824"/>
    </row>
    <row r="30" spans="1:5" s="769" customFormat="1" ht="15.75">
      <c r="A30" s="825"/>
      <c r="B30" s="828"/>
      <c r="C30" s="824"/>
      <c r="D30" s="828"/>
      <c r="E30" s="824"/>
    </row>
    <row r="31" spans="1:5" s="769" customFormat="1" ht="15.75">
      <c r="A31" s="825"/>
      <c r="B31" s="828"/>
      <c r="C31" s="824"/>
      <c r="D31" s="828"/>
      <c r="E31" s="824"/>
    </row>
    <row r="32" spans="3:5" s="769" customFormat="1" ht="15.75">
      <c r="C32" s="839"/>
      <c r="E32" s="824"/>
    </row>
    <row r="33" spans="3:5" s="769" customFormat="1" ht="15.75">
      <c r="C33" s="824"/>
      <c r="E33" s="824"/>
    </row>
    <row r="34" s="769" customFormat="1" ht="15.75">
      <c r="E34" s="824"/>
    </row>
    <row r="35" spans="1:4" s="769" customFormat="1" ht="15.75">
      <c r="A35" s="1361"/>
      <c r="B35" s="1362"/>
      <c r="C35" s="1362"/>
      <c r="D35" s="1362"/>
    </row>
    <row r="36" spans="1:4" s="769" customFormat="1" ht="15.75">
      <c r="A36" s="1361"/>
      <c r="B36" s="828"/>
      <c r="C36" s="828"/>
      <c r="D36" s="828"/>
    </row>
    <row r="37" spans="1:4" s="769" customFormat="1" ht="15.75">
      <c r="A37" s="821"/>
      <c r="B37" s="829"/>
      <c r="C37" s="829"/>
      <c r="D37" s="829"/>
    </row>
    <row r="38" spans="1:4" s="769" customFormat="1" ht="15.75">
      <c r="A38" s="821"/>
      <c r="B38" s="829"/>
      <c r="C38" s="829"/>
      <c r="D38" s="829"/>
    </row>
    <row r="39" spans="1:4" s="769" customFormat="1" ht="15.75">
      <c r="A39" s="825"/>
      <c r="B39" s="828"/>
      <c r="C39" s="828"/>
      <c r="D39" s="828"/>
    </row>
    <row r="40" spans="1:4" s="769" customFormat="1" ht="15.75">
      <c r="A40" s="825"/>
      <c r="B40" s="828"/>
      <c r="C40" s="828"/>
      <c r="D40" s="828"/>
    </row>
    <row r="41" spans="1:4" s="769" customFormat="1" ht="15.75">
      <c r="A41" s="827"/>
      <c r="B41" s="829"/>
      <c r="C41" s="829"/>
      <c r="D41" s="829"/>
    </row>
    <row r="42" spans="1:4" s="769" customFormat="1" ht="15.75">
      <c r="A42" s="825"/>
      <c r="B42" s="828"/>
      <c r="C42" s="828"/>
      <c r="D42" s="828"/>
    </row>
    <row r="43" spans="1:4" s="769" customFormat="1" ht="15.75">
      <c r="A43" s="825"/>
      <c r="B43" s="828"/>
      <c r="C43" s="828"/>
      <c r="D43" s="828"/>
    </row>
    <row r="44" spans="1:4" s="769" customFormat="1" ht="15.75">
      <c r="A44" s="825"/>
      <c r="B44" s="828"/>
      <c r="C44" s="828"/>
      <c r="D44" s="828"/>
    </row>
    <row r="45" spans="1:4" s="769" customFormat="1" ht="15.75">
      <c r="A45" s="825"/>
      <c r="B45" s="828"/>
      <c r="C45" s="828"/>
      <c r="D45" s="828"/>
    </row>
    <row r="46" spans="1:4" s="769" customFormat="1" ht="15.75">
      <c r="A46" s="825"/>
      <c r="B46" s="828"/>
      <c r="C46" s="828"/>
      <c r="D46" s="828"/>
    </row>
    <row r="47" spans="1:4" s="769" customFormat="1" ht="15.75">
      <c r="A47" s="827"/>
      <c r="B47" s="829"/>
      <c r="C47" s="829"/>
      <c r="D47" s="829"/>
    </row>
    <row r="48" spans="1:4" s="769" customFormat="1" ht="15.75">
      <c r="A48" s="825"/>
      <c r="B48" s="828"/>
      <c r="C48" s="828"/>
      <c r="D48" s="828"/>
    </row>
    <row r="49" s="769" customFormat="1" ht="15.75"/>
    <row r="50" s="769" customFormat="1" ht="15.75"/>
    <row r="51" s="769" customFormat="1" ht="15.75"/>
  </sheetData>
  <sheetProtection/>
  <mergeCells count="5">
    <mergeCell ref="A1:J1"/>
    <mergeCell ref="A4:A5"/>
    <mergeCell ref="B4:J4"/>
    <mergeCell ref="A35:A36"/>
    <mergeCell ref="B35:D35"/>
  </mergeCells>
  <hyperlinks>
    <hyperlink ref="A23" r:id="rId1" display="mailto:D.Gaidukov@go-egvekino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J29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4.625" style="185" customWidth="1"/>
    <col min="2" max="2" width="33.875" style="185" customWidth="1"/>
    <col min="3" max="5" width="9.125" style="185" hidden="1" customWidth="1"/>
    <col min="6" max="6" width="4.125" style="185" hidden="1" customWidth="1"/>
    <col min="7" max="9" width="9.125" style="185" hidden="1" customWidth="1"/>
    <col min="10" max="10" width="4.125" style="185" hidden="1" customWidth="1"/>
    <col min="11" max="11" width="10.75390625" style="185" hidden="1" customWidth="1"/>
    <col min="12" max="13" width="9.25390625" style="185" hidden="1" customWidth="1"/>
    <col min="14" max="14" width="4.25390625" style="185" hidden="1" customWidth="1"/>
    <col min="15" max="17" width="9.25390625" style="185" hidden="1" customWidth="1"/>
    <col min="18" max="18" width="4.25390625" style="185" hidden="1" customWidth="1"/>
    <col min="19" max="21" width="9.25390625" style="185" hidden="1" customWidth="1"/>
    <col min="22" max="22" width="4.25390625" style="185" hidden="1" customWidth="1"/>
    <col min="23" max="23" width="8.00390625" style="185" hidden="1" customWidth="1"/>
    <col min="24" max="25" width="9.25390625" style="185" hidden="1" customWidth="1"/>
    <col min="26" max="26" width="4.25390625" style="185" hidden="1" customWidth="1"/>
    <col min="27" max="27" width="8.375" style="185" hidden="1" customWidth="1"/>
    <col min="28" max="29" width="9.375" style="185" hidden="1" customWidth="1"/>
    <col min="30" max="30" width="4.375" style="185" hidden="1" customWidth="1"/>
    <col min="31" max="31" width="9.625" style="185" hidden="1" customWidth="1"/>
    <col min="32" max="32" width="9.375" style="185" hidden="1" customWidth="1"/>
    <col min="33" max="33" width="8.625" style="185" hidden="1" customWidth="1"/>
    <col min="34" max="34" width="6.75390625" style="185" hidden="1" customWidth="1"/>
    <col min="35" max="35" width="8.25390625" style="185" bestFit="1" customWidth="1"/>
    <col min="36" max="36" width="8.875" style="185" customWidth="1"/>
    <col min="37" max="37" width="6.75390625" style="185" customWidth="1"/>
    <col min="38" max="38" width="4.875" style="185" bestFit="1" customWidth="1"/>
    <col min="39" max="39" width="8.00390625" style="185" bestFit="1" customWidth="1"/>
    <col min="40" max="40" width="7.875" style="185" customWidth="1"/>
    <col min="41" max="41" width="6.75390625" style="185" customWidth="1"/>
    <col min="42" max="42" width="4.875" style="185" bestFit="1" customWidth="1"/>
    <col min="43" max="43" width="8.25390625" style="185" bestFit="1" customWidth="1"/>
    <col min="44" max="44" width="8.875" style="185" customWidth="1"/>
    <col min="45" max="45" width="9.75390625" style="185" customWidth="1"/>
    <col min="46" max="46" width="4.25390625" style="185" customWidth="1"/>
    <col min="47" max="47" width="8.25390625" style="185" bestFit="1" customWidth="1"/>
    <col min="48" max="48" width="9.125" style="185" customWidth="1"/>
    <col min="49" max="49" width="10.125" style="185" customWidth="1"/>
    <col min="50" max="50" width="4.875" style="185" bestFit="1" customWidth="1"/>
    <col min="51" max="51" width="8.25390625" style="185" bestFit="1" customWidth="1"/>
    <col min="52" max="52" width="9.875" style="185" bestFit="1" customWidth="1"/>
    <col min="53" max="53" width="9.375" style="185" bestFit="1" customWidth="1"/>
    <col min="54" max="54" width="4.375" style="185" bestFit="1" customWidth="1"/>
    <col min="55" max="55" width="8.25390625" style="185" bestFit="1" customWidth="1"/>
    <col min="56" max="57" width="9.375" style="185" bestFit="1" customWidth="1"/>
    <col min="58" max="58" width="4.875" style="185" bestFit="1" customWidth="1"/>
    <col min="59" max="59" width="8.25390625" style="185" bestFit="1" customWidth="1"/>
    <col min="60" max="61" width="9.25390625" style="185" bestFit="1" customWidth="1"/>
    <col min="62" max="62" width="4.875" style="185" bestFit="1" customWidth="1"/>
    <col min="63" max="16384" width="9.125" style="185" customWidth="1"/>
  </cols>
  <sheetData>
    <row r="1" spans="1:62" ht="18.75">
      <c r="A1" s="1390" t="s">
        <v>261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1390"/>
      <c r="R1" s="1390"/>
      <c r="S1" s="1390"/>
      <c r="T1" s="1390"/>
      <c r="U1" s="1390"/>
      <c r="V1" s="1390"/>
      <c r="W1" s="1390"/>
      <c r="X1" s="1390"/>
      <c r="Y1" s="1390"/>
      <c r="Z1" s="1390"/>
      <c r="AA1" s="1390"/>
      <c r="AB1" s="1390"/>
      <c r="AC1" s="1390"/>
      <c r="AD1" s="1390"/>
      <c r="AE1" s="1390"/>
      <c r="AF1" s="1390"/>
      <c r="AG1" s="1390"/>
      <c r="AH1" s="1390"/>
      <c r="AI1" s="1390"/>
      <c r="AJ1" s="1390"/>
      <c r="AK1" s="1390"/>
      <c r="AL1" s="1390"/>
      <c r="AM1" s="1390"/>
      <c r="AN1" s="1390"/>
      <c r="AO1" s="1390"/>
      <c r="AP1" s="1390"/>
      <c r="AQ1" s="1390"/>
      <c r="AR1" s="1390"/>
      <c r="AS1" s="1390"/>
      <c r="AT1" s="1390"/>
      <c r="AU1" s="1390"/>
      <c r="AV1" s="1390"/>
      <c r="AW1" s="1390"/>
      <c r="AX1" s="1390"/>
      <c r="AY1" s="1390"/>
      <c r="AZ1" s="1390"/>
      <c r="BA1" s="1390"/>
      <c r="BB1" s="1390"/>
      <c r="BC1" s="1390"/>
      <c r="BD1" s="1390"/>
      <c r="BE1" s="1390"/>
      <c r="BF1" s="1390"/>
      <c r="BG1" s="1390"/>
      <c r="BH1" s="1390"/>
      <c r="BI1" s="1390"/>
      <c r="BJ1" s="1390"/>
    </row>
    <row r="2" ht="15.75" thickBot="1"/>
    <row r="3" spans="1:62" ht="15.75">
      <c r="A3" s="1369" t="s">
        <v>262</v>
      </c>
      <c r="B3" s="1371" t="s">
        <v>263</v>
      </c>
      <c r="C3" s="1363" t="s">
        <v>264</v>
      </c>
      <c r="D3" s="1364"/>
      <c r="E3" s="1364"/>
      <c r="F3" s="1365"/>
      <c r="G3" s="1363" t="s">
        <v>265</v>
      </c>
      <c r="H3" s="1364"/>
      <c r="I3" s="1364"/>
      <c r="J3" s="1365"/>
      <c r="K3" s="1363" t="s">
        <v>266</v>
      </c>
      <c r="L3" s="1364"/>
      <c r="M3" s="1364"/>
      <c r="N3" s="1365"/>
      <c r="O3" s="1363" t="s">
        <v>338</v>
      </c>
      <c r="P3" s="1364"/>
      <c r="Q3" s="1364"/>
      <c r="R3" s="1365"/>
      <c r="S3" s="1363" t="s">
        <v>337</v>
      </c>
      <c r="T3" s="1364"/>
      <c r="U3" s="1364"/>
      <c r="V3" s="1365"/>
      <c r="W3" s="1366" t="s">
        <v>364</v>
      </c>
      <c r="X3" s="1367"/>
      <c r="Y3" s="1367"/>
      <c r="Z3" s="1368"/>
      <c r="AA3" s="1366" t="s">
        <v>363</v>
      </c>
      <c r="AB3" s="1367"/>
      <c r="AC3" s="1367"/>
      <c r="AD3" s="1368"/>
      <c r="AE3" s="1366" t="s">
        <v>381</v>
      </c>
      <c r="AF3" s="1367"/>
      <c r="AG3" s="1367"/>
      <c r="AH3" s="1368"/>
      <c r="AI3" s="1366" t="s">
        <v>382</v>
      </c>
      <c r="AJ3" s="1367"/>
      <c r="AK3" s="1367"/>
      <c r="AL3" s="1368"/>
      <c r="AM3" s="1366" t="s">
        <v>476</v>
      </c>
      <c r="AN3" s="1367"/>
      <c r="AO3" s="1367"/>
      <c r="AP3" s="1368"/>
      <c r="AQ3" s="1366" t="s">
        <v>477</v>
      </c>
      <c r="AR3" s="1367"/>
      <c r="AS3" s="1367"/>
      <c r="AT3" s="1368"/>
      <c r="AU3" s="1384" t="s">
        <v>478</v>
      </c>
      <c r="AV3" s="1385"/>
      <c r="AW3" s="1385"/>
      <c r="AX3" s="1386"/>
      <c r="AY3" s="1384" t="s">
        <v>365</v>
      </c>
      <c r="AZ3" s="1385"/>
      <c r="BA3" s="1385"/>
      <c r="BB3" s="1386"/>
      <c r="BC3" s="1384" t="s">
        <v>421</v>
      </c>
      <c r="BD3" s="1385"/>
      <c r="BE3" s="1385"/>
      <c r="BF3" s="1386"/>
      <c r="BG3" s="1384" t="s">
        <v>479</v>
      </c>
      <c r="BH3" s="1385"/>
      <c r="BI3" s="1385"/>
      <c r="BJ3" s="1386"/>
    </row>
    <row r="4" spans="1:62" ht="60.75" thickBot="1">
      <c r="A4" s="1370"/>
      <c r="B4" s="1372"/>
      <c r="C4" s="370" t="s">
        <v>174</v>
      </c>
      <c r="D4" s="392" t="s">
        <v>267</v>
      </c>
      <c r="E4" s="369" t="s">
        <v>268</v>
      </c>
      <c r="F4" s="192" t="s">
        <v>269</v>
      </c>
      <c r="G4" s="189" t="s">
        <v>174</v>
      </c>
      <c r="H4" s="392" t="s">
        <v>267</v>
      </c>
      <c r="I4" s="369" t="s">
        <v>268</v>
      </c>
      <c r="J4" s="192" t="s">
        <v>269</v>
      </c>
      <c r="K4" s="370" t="s">
        <v>174</v>
      </c>
      <c r="L4" s="392" t="s">
        <v>267</v>
      </c>
      <c r="M4" s="369" t="s">
        <v>268</v>
      </c>
      <c r="N4" s="192" t="s">
        <v>269</v>
      </c>
      <c r="O4" s="370" t="s">
        <v>174</v>
      </c>
      <c r="P4" s="392" t="s">
        <v>267</v>
      </c>
      <c r="Q4" s="369" t="s">
        <v>268</v>
      </c>
      <c r="R4" s="192" t="s">
        <v>269</v>
      </c>
      <c r="S4" s="370" t="s">
        <v>174</v>
      </c>
      <c r="T4" s="190" t="s">
        <v>267</v>
      </c>
      <c r="U4" s="369" t="s">
        <v>268</v>
      </c>
      <c r="V4" s="192" t="s">
        <v>269</v>
      </c>
      <c r="W4" s="370" t="s">
        <v>174</v>
      </c>
      <c r="X4" s="190" t="s">
        <v>267</v>
      </c>
      <c r="Y4" s="369" t="s">
        <v>268</v>
      </c>
      <c r="Z4" s="192" t="s">
        <v>269</v>
      </c>
      <c r="AA4" s="370" t="s">
        <v>174</v>
      </c>
      <c r="AB4" s="190" t="s">
        <v>267</v>
      </c>
      <c r="AC4" s="369" t="s">
        <v>268</v>
      </c>
      <c r="AD4" s="192" t="s">
        <v>269</v>
      </c>
      <c r="AE4" s="370" t="s">
        <v>174</v>
      </c>
      <c r="AF4" s="190" t="s">
        <v>267</v>
      </c>
      <c r="AG4" s="369" t="s">
        <v>268</v>
      </c>
      <c r="AH4" s="192" t="s">
        <v>269</v>
      </c>
      <c r="AI4" s="370" t="s">
        <v>174</v>
      </c>
      <c r="AJ4" s="190" t="s">
        <v>267</v>
      </c>
      <c r="AK4" s="369" t="s">
        <v>268</v>
      </c>
      <c r="AL4" s="192" t="s">
        <v>269</v>
      </c>
      <c r="AM4" s="370" t="s">
        <v>174</v>
      </c>
      <c r="AN4" s="190" t="s">
        <v>267</v>
      </c>
      <c r="AO4" s="369" t="s">
        <v>268</v>
      </c>
      <c r="AP4" s="192" t="s">
        <v>269</v>
      </c>
      <c r="AQ4" s="370" t="s">
        <v>174</v>
      </c>
      <c r="AR4" s="190" t="s">
        <v>267</v>
      </c>
      <c r="AS4" s="369" t="s">
        <v>268</v>
      </c>
      <c r="AT4" s="192" t="s">
        <v>269</v>
      </c>
      <c r="AU4" s="189" t="s">
        <v>174</v>
      </c>
      <c r="AV4" s="190" t="s">
        <v>267</v>
      </c>
      <c r="AW4" s="191" t="s">
        <v>268</v>
      </c>
      <c r="AX4" s="192" t="s">
        <v>269</v>
      </c>
      <c r="AY4" s="189" t="s">
        <v>174</v>
      </c>
      <c r="AZ4" s="190" t="s">
        <v>267</v>
      </c>
      <c r="BA4" s="191" t="s">
        <v>268</v>
      </c>
      <c r="BB4" s="192" t="s">
        <v>269</v>
      </c>
      <c r="BC4" s="189" t="s">
        <v>174</v>
      </c>
      <c r="BD4" s="190" t="s">
        <v>267</v>
      </c>
      <c r="BE4" s="191" t="s">
        <v>268</v>
      </c>
      <c r="BF4" s="192" t="s">
        <v>269</v>
      </c>
      <c r="BG4" s="189" t="s">
        <v>174</v>
      </c>
      <c r="BH4" s="190" t="s">
        <v>267</v>
      </c>
      <c r="BI4" s="191" t="s">
        <v>268</v>
      </c>
      <c r="BJ4" s="192" t="s">
        <v>269</v>
      </c>
    </row>
    <row r="5" spans="1:62" ht="15.75">
      <c r="A5" s="1373">
        <v>1</v>
      </c>
      <c r="B5" s="376" t="s">
        <v>220</v>
      </c>
      <c r="C5" s="193">
        <f>C7+C11</f>
        <v>21.71</v>
      </c>
      <c r="D5" s="389">
        <f>D7+D11</f>
        <v>3.952</v>
      </c>
      <c r="E5" s="194">
        <f>E7+E11</f>
        <v>0.992</v>
      </c>
      <c r="F5" s="1376">
        <v>2</v>
      </c>
      <c r="G5" s="193">
        <f>G7+G11</f>
        <v>26.06</v>
      </c>
      <c r="H5" s="389">
        <f>H7+H11</f>
        <v>4.416</v>
      </c>
      <c r="I5" s="194">
        <f>I7+I11</f>
        <v>1.205</v>
      </c>
      <c r="J5" s="1376">
        <v>2</v>
      </c>
      <c r="K5" s="193">
        <f>K7+K11</f>
        <v>23.439999999999998</v>
      </c>
      <c r="L5" s="389">
        <f>L7+L11</f>
        <v>2.483</v>
      </c>
      <c r="M5" s="194">
        <f>M7+M11</f>
        <v>1.137</v>
      </c>
      <c r="N5" s="1376">
        <v>4</v>
      </c>
      <c r="O5" s="193">
        <f>O7+O11</f>
        <v>28.669999999999998</v>
      </c>
      <c r="P5" s="389">
        <f>P7+P11</f>
        <v>3.0349999999999997</v>
      </c>
      <c r="Q5" s="194">
        <f>Q7+Q11</f>
        <v>1.391</v>
      </c>
      <c r="R5" s="1376">
        <v>3</v>
      </c>
      <c r="S5" s="193">
        <f>S7+S11</f>
        <v>21.374</v>
      </c>
      <c r="T5" s="389">
        <f>T7+T11</f>
        <v>2.2611</v>
      </c>
      <c r="U5" s="194">
        <f>U7+U11</f>
        <v>1.0345</v>
      </c>
      <c r="V5" s="1376">
        <v>3</v>
      </c>
      <c r="W5" s="385">
        <f>W7+W11</f>
        <v>25.497349999999997</v>
      </c>
      <c r="X5" s="389">
        <f>X7+X11</f>
        <v>2.699757</v>
      </c>
      <c r="Y5" s="194">
        <f>Y7+Y11</f>
        <v>1.236274</v>
      </c>
      <c r="Z5" s="1376">
        <v>4</v>
      </c>
      <c r="AA5" s="193">
        <f>AA7+AA11</f>
        <v>19.631</v>
      </c>
      <c r="AB5" s="389">
        <f>AB7+AB11</f>
        <v>2.072</v>
      </c>
      <c r="AC5" s="194">
        <f>AC7+AC11</f>
        <v>0.951</v>
      </c>
      <c r="AD5" s="1379">
        <v>4</v>
      </c>
      <c r="AE5" s="385">
        <f>AE7+AE11</f>
        <v>24.11</v>
      </c>
      <c r="AF5" s="389">
        <f>AF7+AF11</f>
        <v>2.545158</v>
      </c>
      <c r="AG5" s="194">
        <f>AG7+AG11</f>
        <v>1.168525</v>
      </c>
      <c r="AH5" s="1376">
        <v>4</v>
      </c>
      <c r="AI5" s="193">
        <f>SUM(AI6:AI11)</f>
        <v>42.9438</v>
      </c>
      <c r="AJ5" s="389">
        <f>SUM(AJ6:AJ11)</f>
        <v>4.735342</v>
      </c>
      <c r="AK5" s="194">
        <f>SUM(AK6:AK11)</f>
        <v>2.241921</v>
      </c>
      <c r="AL5" s="1379">
        <v>5</v>
      </c>
      <c r="AM5" s="193">
        <f>SUM(AM6:AM11)</f>
        <v>63.402100000000004</v>
      </c>
      <c r="AN5" s="389">
        <f>SUM(AN6:AN11)</f>
        <v>7.497</v>
      </c>
      <c r="AO5" s="194">
        <f>SUM(AO6:AO11)</f>
        <v>3.5819999999999994</v>
      </c>
      <c r="AP5" s="1376">
        <v>5</v>
      </c>
      <c r="AQ5" s="193">
        <f>SUM(AQ6:AQ11)</f>
        <v>104.177</v>
      </c>
      <c r="AR5" s="389">
        <f>SUM(AR6:AR11)</f>
        <v>14.666</v>
      </c>
      <c r="AS5" s="194">
        <f>SUM(AS6:AS11)</f>
        <v>7.364000000000001</v>
      </c>
      <c r="AT5" s="1379">
        <v>12</v>
      </c>
      <c r="AU5" s="193">
        <f>SUM(AU6:AU11)</f>
        <v>125.0124</v>
      </c>
      <c r="AV5" s="389">
        <f>SUM(AV6:AV11)</f>
        <v>17.5992</v>
      </c>
      <c r="AW5" s="194">
        <f>SUM(AW6:AW11)</f>
        <v>8.836800000000002</v>
      </c>
      <c r="AX5" s="1379">
        <v>12</v>
      </c>
      <c r="AY5" s="193">
        <f>SUM(AY6:AY11)</f>
        <v>130.012896</v>
      </c>
      <c r="AZ5" s="389">
        <f>SUM(AZ6:AZ11)</f>
        <v>0</v>
      </c>
      <c r="BA5" s="194">
        <f>SUM(BA6:BA11)</f>
        <v>9.720480000000002</v>
      </c>
      <c r="BB5" s="1379">
        <v>13</v>
      </c>
      <c r="BC5" s="193">
        <f>SUM(BC6:BC11)</f>
        <v>130.012896</v>
      </c>
      <c r="BD5" s="389">
        <f>SUM(BD6:BD11)</f>
        <v>0</v>
      </c>
      <c r="BE5" s="194">
        <f>SUM(BE6:BE11)</f>
        <v>10.692528000000003</v>
      </c>
      <c r="BF5" s="1379">
        <v>13</v>
      </c>
      <c r="BG5" s="193">
        <f>SUM(BG6:BG11)</f>
        <v>130.012896</v>
      </c>
      <c r="BH5" s="389">
        <f>SUM(BH6:BH11)</f>
        <v>0</v>
      </c>
      <c r="BI5" s="194">
        <f>SUM(BI6:BI11)</f>
        <v>11.547930240000005</v>
      </c>
      <c r="BJ5" s="1379">
        <v>13</v>
      </c>
    </row>
    <row r="6" spans="1:62" ht="15.75">
      <c r="A6" s="1374"/>
      <c r="B6" s="630" t="s">
        <v>207</v>
      </c>
      <c r="C6" s="623"/>
      <c r="D6" s="624"/>
      <c r="E6" s="625"/>
      <c r="F6" s="1377"/>
      <c r="G6" s="623"/>
      <c r="H6" s="624"/>
      <c r="I6" s="625"/>
      <c r="J6" s="1377"/>
      <c r="K6" s="623"/>
      <c r="L6" s="624"/>
      <c r="M6" s="625"/>
      <c r="N6" s="1377"/>
      <c r="O6" s="623"/>
      <c r="P6" s="624"/>
      <c r="Q6" s="625"/>
      <c r="R6" s="1377"/>
      <c r="S6" s="623"/>
      <c r="T6" s="626"/>
      <c r="U6" s="627"/>
      <c r="V6" s="1377"/>
      <c r="W6" s="628"/>
      <c r="X6" s="626"/>
      <c r="Y6" s="625"/>
      <c r="Z6" s="1377"/>
      <c r="AA6" s="623"/>
      <c r="AB6" s="626"/>
      <c r="AC6" s="625"/>
      <c r="AD6" s="1380"/>
      <c r="AE6" s="628"/>
      <c r="AF6" s="626"/>
      <c r="AG6" s="625"/>
      <c r="AH6" s="1377"/>
      <c r="AI6" s="629">
        <v>19.5832</v>
      </c>
      <c r="AJ6" s="626">
        <v>2.027787</v>
      </c>
      <c r="AK6" s="624">
        <v>1.113758</v>
      </c>
      <c r="AL6" s="1380"/>
      <c r="AM6" s="886">
        <v>27.804</v>
      </c>
      <c r="AN6" s="626">
        <v>2.962</v>
      </c>
      <c r="AO6" s="624">
        <v>1.762</v>
      </c>
      <c r="AP6" s="1377"/>
      <c r="AQ6" s="629">
        <v>42.828</v>
      </c>
      <c r="AR6" s="626">
        <v>4.502</v>
      </c>
      <c r="AS6" s="624">
        <v>3.72</v>
      </c>
      <c r="AT6" s="1380"/>
      <c r="AU6" s="386">
        <f aca="true" t="shared" si="0" ref="AU6:AW11">AQ6/10*12</f>
        <v>51.3936</v>
      </c>
      <c r="AV6" s="198">
        <f t="shared" si="0"/>
        <v>5.4024</v>
      </c>
      <c r="AW6" s="381">
        <f t="shared" si="0"/>
        <v>4.464</v>
      </c>
      <c r="AX6" s="1380"/>
      <c r="AY6" s="380">
        <f aca="true" t="shared" si="1" ref="AY6:AY11">AU6*1.04</f>
        <v>53.449344</v>
      </c>
      <c r="AZ6" s="626"/>
      <c r="BA6" s="381">
        <f aca="true" t="shared" si="2" ref="BA6:BA11">AW6*1.1</f>
        <v>4.910400000000001</v>
      </c>
      <c r="BB6" s="1380"/>
      <c r="BC6" s="380">
        <f aca="true" t="shared" si="3" ref="BC6:BC11">AY6</f>
        <v>53.449344</v>
      </c>
      <c r="BD6" s="198"/>
      <c r="BE6" s="381">
        <f aca="true" t="shared" si="4" ref="BE6:BE11">BA6*1.1</f>
        <v>5.401440000000002</v>
      </c>
      <c r="BF6" s="1380"/>
      <c r="BG6" s="380">
        <f aca="true" t="shared" si="5" ref="BG6:BG11">AY6</f>
        <v>53.449344</v>
      </c>
      <c r="BH6" s="198"/>
      <c r="BI6" s="381">
        <f aca="true" t="shared" si="6" ref="BI6:BI11">BE6*1.08</f>
        <v>5.833555200000002</v>
      </c>
      <c r="BJ6" s="1380"/>
    </row>
    <row r="7" spans="1:62" ht="15" customHeight="1">
      <c r="A7" s="1374"/>
      <c r="B7" s="377" t="s">
        <v>210</v>
      </c>
      <c r="C7" s="195">
        <v>15.47</v>
      </c>
      <c r="D7" s="393">
        <v>1.843</v>
      </c>
      <c r="E7" s="196">
        <v>0.713</v>
      </c>
      <c r="F7" s="1377"/>
      <c r="G7" s="195">
        <v>18.38</v>
      </c>
      <c r="H7" s="393">
        <v>2.144</v>
      </c>
      <c r="I7" s="196">
        <v>0.857</v>
      </c>
      <c r="J7" s="1377"/>
      <c r="K7" s="195">
        <v>16.15</v>
      </c>
      <c r="L7" s="393">
        <v>1.653</v>
      </c>
      <c r="M7" s="196">
        <v>0.787</v>
      </c>
      <c r="N7" s="1377"/>
      <c r="O7" s="195">
        <v>19.99</v>
      </c>
      <c r="P7" s="393">
        <v>2.046</v>
      </c>
      <c r="Q7" s="196">
        <v>0.975</v>
      </c>
      <c r="R7" s="1377"/>
      <c r="S7" s="197">
        <v>14.738</v>
      </c>
      <c r="T7" s="198">
        <v>1.5055</v>
      </c>
      <c r="U7" s="198">
        <v>0.716</v>
      </c>
      <c r="V7" s="1377"/>
      <c r="W7" s="515">
        <v>17.5676</v>
      </c>
      <c r="X7" s="198">
        <v>1.796876</v>
      </c>
      <c r="Y7" s="393">
        <v>0.855646</v>
      </c>
      <c r="Z7" s="1377"/>
      <c r="AA7" s="197">
        <v>14.422</v>
      </c>
      <c r="AB7" s="198">
        <v>1.479</v>
      </c>
      <c r="AC7" s="393">
        <v>0.701</v>
      </c>
      <c r="AD7" s="1380"/>
      <c r="AE7" s="515">
        <v>17.65</v>
      </c>
      <c r="AF7" s="198">
        <v>1.809908</v>
      </c>
      <c r="AG7" s="393">
        <v>0.858565</v>
      </c>
      <c r="AH7" s="1377"/>
      <c r="AI7" s="197">
        <v>13.6061</v>
      </c>
      <c r="AJ7" s="198">
        <v>1.393597</v>
      </c>
      <c r="AK7" s="393">
        <v>0.660334</v>
      </c>
      <c r="AL7" s="1380"/>
      <c r="AM7" s="515">
        <v>16.7966</v>
      </c>
      <c r="AN7" s="198">
        <v>1.72</v>
      </c>
      <c r="AO7" s="393">
        <v>0.815</v>
      </c>
      <c r="AP7" s="1377"/>
      <c r="AQ7" s="197">
        <v>15.046</v>
      </c>
      <c r="AR7" s="198">
        <v>1.978</v>
      </c>
      <c r="AS7" s="393">
        <v>0.731</v>
      </c>
      <c r="AT7" s="1380"/>
      <c r="AU7" s="386">
        <f t="shared" si="0"/>
        <v>18.0552</v>
      </c>
      <c r="AV7" s="198">
        <f t="shared" si="0"/>
        <v>2.3736</v>
      </c>
      <c r="AW7" s="381">
        <f t="shared" si="0"/>
        <v>0.8772</v>
      </c>
      <c r="AX7" s="1380"/>
      <c r="AY7" s="380">
        <f t="shared" si="1"/>
        <v>18.777408</v>
      </c>
      <c r="AZ7" s="198"/>
      <c r="BA7" s="381">
        <f t="shared" si="2"/>
        <v>0.9649200000000001</v>
      </c>
      <c r="BB7" s="1380"/>
      <c r="BC7" s="380">
        <f t="shared" si="3"/>
        <v>18.777408</v>
      </c>
      <c r="BD7" s="198"/>
      <c r="BE7" s="381">
        <f t="shared" si="4"/>
        <v>1.0614120000000002</v>
      </c>
      <c r="BF7" s="1380"/>
      <c r="BG7" s="380">
        <f t="shared" si="5"/>
        <v>18.777408</v>
      </c>
      <c r="BH7" s="198"/>
      <c r="BI7" s="381">
        <f t="shared" si="6"/>
        <v>1.1463249600000003</v>
      </c>
      <c r="BJ7" s="1380"/>
    </row>
    <row r="8" spans="1:62" ht="15" customHeight="1">
      <c r="A8" s="1374"/>
      <c r="B8" s="377" t="s">
        <v>209</v>
      </c>
      <c r="C8" s="875"/>
      <c r="D8" s="876"/>
      <c r="E8" s="877"/>
      <c r="F8" s="1377"/>
      <c r="G8" s="875"/>
      <c r="H8" s="876"/>
      <c r="I8" s="877"/>
      <c r="J8" s="1377"/>
      <c r="K8" s="875"/>
      <c r="L8" s="876"/>
      <c r="M8" s="877"/>
      <c r="N8" s="1377"/>
      <c r="O8" s="875"/>
      <c r="P8" s="876"/>
      <c r="Q8" s="877"/>
      <c r="R8" s="1377"/>
      <c r="S8" s="878"/>
      <c r="T8" s="519"/>
      <c r="U8" s="519"/>
      <c r="V8" s="1377"/>
      <c r="W8" s="879"/>
      <c r="X8" s="519"/>
      <c r="Y8" s="876"/>
      <c r="Z8" s="1377"/>
      <c r="AA8" s="878"/>
      <c r="AB8" s="519"/>
      <c r="AC8" s="876"/>
      <c r="AD8" s="1380"/>
      <c r="AE8" s="879"/>
      <c r="AF8" s="519"/>
      <c r="AG8" s="876"/>
      <c r="AH8" s="1377"/>
      <c r="AI8" s="197">
        <v>6.0195</v>
      </c>
      <c r="AJ8" s="198">
        <v>0.68538</v>
      </c>
      <c r="AK8" s="393">
        <v>0.288936</v>
      </c>
      <c r="AL8" s="1380"/>
      <c r="AM8" s="515">
        <v>7.2015</v>
      </c>
      <c r="AN8" s="198">
        <v>0.819</v>
      </c>
      <c r="AO8" s="393">
        <v>0.345</v>
      </c>
      <c r="AP8" s="1377"/>
      <c r="AQ8" s="197">
        <v>5.972</v>
      </c>
      <c r="AR8" s="198">
        <v>1.316</v>
      </c>
      <c r="AS8" s="393">
        <v>0.301</v>
      </c>
      <c r="AT8" s="1380"/>
      <c r="AU8" s="386">
        <f t="shared" si="0"/>
        <v>7.166400000000001</v>
      </c>
      <c r="AV8" s="198">
        <f t="shared" si="0"/>
        <v>1.5792</v>
      </c>
      <c r="AW8" s="381">
        <f t="shared" si="0"/>
        <v>0.36119999999999997</v>
      </c>
      <c r="AX8" s="1380"/>
      <c r="AY8" s="380">
        <f t="shared" si="1"/>
        <v>7.453056000000002</v>
      </c>
      <c r="AZ8" s="198"/>
      <c r="BA8" s="381">
        <f t="shared" si="2"/>
        <v>0.39732</v>
      </c>
      <c r="BB8" s="1380"/>
      <c r="BC8" s="380">
        <f t="shared" si="3"/>
        <v>7.453056000000002</v>
      </c>
      <c r="BD8" s="198"/>
      <c r="BE8" s="381">
        <f t="shared" si="4"/>
        <v>0.43705200000000005</v>
      </c>
      <c r="BF8" s="1380"/>
      <c r="BG8" s="380">
        <f t="shared" si="5"/>
        <v>7.453056000000002</v>
      </c>
      <c r="BH8" s="198"/>
      <c r="BI8" s="381">
        <f t="shared" si="6"/>
        <v>0.4720161600000001</v>
      </c>
      <c r="BJ8" s="1380"/>
    </row>
    <row r="9" spans="1:62" ht="15" customHeight="1">
      <c r="A9" s="1374"/>
      <c r="B9" s="885" t="s">
        <v>214</v>
      </c>
      <c r="C9" s="875"/>
      <c r="D9" s="876"/>
      <c r="E9" s="877"/>
      <c r="F9" s="1377"/>
      <c r="G9" s="875"/>
      <c r="H9" s="876"/>
      <c r="I9" s="877"/>
      <c r="J9" s="1377"/>
      <c r="K9" s="875"/>
      <c r="L9" s="876"/>
      <c r="M9" s="877"/>
      <c r="N9" s="1377"/>
      <c r="O9" s="875"/>
      <c r="P9" s="876"/>
      <c r="Q9" s="877"/>
      <c r="R9" s="1377"/>
      <c r="S9" s="878"/>
      <c r="T9" s="519"/>
      <c r="U9" s="519"/>
      <c r="V9" s="1377"/>
      <c r="W9" s="879"/>
      <c r="X9" s="519"/>
      <c r="Y9" s="876"/>
      <c r="Z9" s="1377"/>
      <c r="AA9" s="878"/>
      <c r="AB9" s="519"/>
      <c r="AC9" s="876"/>
      <c r="AD9" s="1380"/>
      <c r="AE9" s="879"/>
      <c r="AF9" s="519"/>
      <c r="AG9" s="876"/>
      <c r="AH9" s="1377"/>
      <c r="AI9" s="882">
        <v>2.30475</v>
      </c>
      <c r="AJ9" s="881">
        <v>0.328092</v>
      </c>
      <c r="AK9" s="883">
        <v>0.110016</v>
      </c>
      <c r="AL9" s="1380"/>
      <c r="AM9" s="884">
        <v>7.371</v>
      </c>
      <c r="AN9" s="881">
        <v>1.101</v>
      </c>
      <c r="AO9" s="883">
        <v>0.453</v>
      </c>
      <c r="AP9" s="1377"/>
      <c r="AQ9" s="882">
        <v>25.667</v>
      </c>
      <c r="AR9" s="881">
        <v>4.193</v>
      </c>
      <c r="AS9" s="883">
        <v>1.87</v>
      </c>
      <c r="AT9" s="1380"/>
      <c r="AU9" s="386">
        <f t="shared" si="0"/>
        <v>30.8004</v>
      </c>
      <c r="AV9" s="198">
        <f t="shared" si="0"/>
        <v>5.031599999999999</v>
      </c>
      <c r="AW9" s="381">
        <f t="shared" si="0"/>
        <v>2.2439999999999998</v>
      </c>
      <c r="AX9" s="1380"/>
      <c r="AY9" s="380">
        <f t="shared" si="1"/>
        <v>32.032416</v>
      </c>
      <c r="AZ9" s="198"/>
      <c r="BA9" s="381">
        <f t="shared" si="2"/>
        <v>2.4684</v>
      </c>
      <c r="BB9" s="1380"/>
      <c r="BC9" s="380">
        <f t="shared" si="3"/>
        <v>32.032416</v>
      </c>
      <c r="BD9" s="198"/>
      <c r="BE9" s="381">
        <f t="shared" si="4"/>
        <v>2.71524</v>
      </c>
      <c r="BF9" s="1380"/>
      <c r="BG9" s="380">
        <f t="shared" si="5"/>
        <v>32.032416</v>
      </c>
      <c r="BH9" s="198"/>
      <c r="BI9" s="381">
        <f t="shared" si="6"/>
        <v>2.9324592000000003</v>
      </c>
      <c r="BJ9" s="1380"/>
    </row>
    <row r="10" spans="1:62" ht="15" customHeight="1">
      <c r="A10" s="1374"/>
      <c r="B10" s="874" t="s">
        <v>211</v>
      </c>
      <c r="C10" s="875"/>
      <c r="D10" s="876"/>
      <c r="E10" s="877"/>
      <c r="F10" s="1377"/>
      <c r="G10" s="875"/>
      <c r="H10" s="876"/>
      <c r="I10" s="877"/>
      <c r="J10" s="1377"/>
      <c r="K10" s="875"/>
      <c r="L10" s="876"/>
      <c r="M10" s="877"/>
      <c r="N10" s="1377"/>
      <c r="O10" s="875"/>
      <c r="P10" s="876"/>
      <c r="Q10" s="877"/>
      <c r="R10" s="1377"/>
      <c r="S10" s="878"/>
      <c r="T10" s="519"/>
      <c r="U10" s="519"/>
      <c r="V10" s="1377"/>
      <c r="W10" s="879"/>
      <c r="X10" s="519"/>
      <c r="Y10" s="876"/>
      <c r="Z10" s="1377"/>
      <c r="AA10" s="878"/>
      <c r="AB10" s="519"/>
      <c r="AC10" s="876"/>
      <c r="AD10" s="1380"/>
      <c r="AE10" s="879"/>
      <c r="AF10" s="519"/>
      <c r="AG10" s="876"/>
      <c r="AH10" s="1377"/>
      <c r="AI10" s="878">
        <v>0.60975</v>
      </c>
      <c r="AJ10" s="519">
        <v>0.145644</v>
      </c>
      <c r="AK10" s="876">
        <v>0.029268</v>
      </c>
      <c r="AL10" s="1380"/>
      <c r="AM10" s="879">
        <v>1.893</v>
      </c>
      <c r="AN10" s="519">
        <v>0.452</v>
      </c>
      <c r="AO10" s="876">
        <v>0.09</v>
      </c>
      <c r="AP10" s="1377"/>
      <c r="AQ10" s="878">
        <v>7.321</v>
      </c>
      <c r="AR10" s="519">
        <v>1.47</v>
      </c>
      <c r="AS10" s="876">
        <v>0.351</v>
      </c>
      <c r="AT10" s="1380"/>
      <c r="AU10" s="386">
        <f t="shared" si="0"/>
        <v>8.7852</v>
      </c>
      <c r="AV10" s="198">
        <f t="shared" si="0"/>
        <v>1.7639999999999998</v>
      </c>
      <c r="AW10" s="381">
        <f t="shared" si="0"/>
        <v>0.4212</v>
      </c>
      <c r="AX10" s="1380"/>
      <c r="AY10" s="380">
        <f t="shared" si="1"/>
        <v>9.136608</v>
      </c>
      <c r="AZ10" s="198"/>
      <c r="BA10" s="381">
        <f t="shared" si="2"/>
        <v>0.46332000000000007</v>
      </c>
      <c r="BB10" s="1380"/>
      <c r="BC10" s="380">
        <f t="shared" si="3"/>
        <v>9.136608</v>
      </c>
      <c r="BD10" s="198"/>
      <c r="BE10" s="381">
        <f t="shared" si="4"/>
        <v>0.5096520000000001</v>
      </c>
      <c r="BF10" s="1380"/>
      <c r="BG10" s="380">
        <f t="shared" si="5"/>
        <v>9.136608</v>
      </c>
      <c r="BH10" s="198"/>
      <c r="BI10" s="381">
        <f t="shared" si="6"/>
        <v>0.5504241600000002</v>
      </c>
      <c r="BJ10" s="1380"/>
    </row>
    <row r="11" spans="1:62" ht="15.75" customHeight="1" thickBot="1">
      <c r="A11" s="1375"/>
      <c r="B11" s="378" t="s">
        <v>212</v>
      </c>
      <c r="C11" s="199">
        <v>6.24</v>
      </c>
      <c r="D11" s="394">
        <v>2.109</v>
      </c>
      <c r="E11" s="200">
        <v>0.279</v>
      </c>
      <c r="F11" s="1378"/>
      <c r="G11" s="199">
        <v>7.68</v>
      </c>
      <c r="H11" s="394">
        <v>2.272</v>
      </c>
      <c r="I11" s="200">
        <v>0.348</v>
      </c>
      <c r="J11" s="1378"/>
      <c r="K11" s="199">
        <v>7.29</v>
      </c>
      <c r="L11" s="394">
        <v>0.83</v>
      </c>
      <c r="M11" s="200">
        <v>0.35</v>
      </c>
      <c r="N11" s="1378"/>
      <c r="O11" s="199">
        <v>8.68</v>
      </c>
      <c r="P11" s="394">
        <v>0.989</v>
      </c>
      <c r="Q11" s="200">
        <v>0.416</v>
      </c>
      <c r="R11" s="1378"/>
      <c r="S11" s="201">
        <v>6.636</v>
      </c>
      <c r="T11" s="202">
        <v>0.7556</v>
      </c>
      <c r="U11" s="202">
        <v>0.3185</v>
      </c>
      <c r="V11" s="1378"/>
      <c r="W11" s="516">
        <v>7.92975</v>
      </c>
      <c r="X11" s="202">
        <v>0.902881</v>
      </c>
      <c r="Y11" s="394">
        <v>0.380628</v>
      </c>
      <c r="Z11" s="1378"/>
      <c r="AA11" s="201">
        <v>5.209</v>
      </c>
      <c r="AB11" s="202">
        <v>0.593</v>
      </c>
      <c r="AC11" s="394">
        <v>0.25</v>
      </c>
      <c r="AD11" s="1381"/>
      <c r="AE11" s="516">
        <v>6.46</v>
      </c>
      <c r="AF11" s="202">
        <v>0.73525</v>
      </c>
      <c r="AG11" s="394">
        <v>0.30996</v>
      </c>
      <c r="AH11" s="1378"/>
      <c r="AI11" s="201">
        <v>0.8205</v>
      </c>
      <c r="AJ11" s="202">
        <v>0.154842</v>
      </c>
      <c r="AK11" s="394">
        <v>0.039609</v>
      </c>
      <c r="AL11" s="1381"/>
      <c r="AM11" s="516">
        <v>2.336</v>
      </c>
      <c r="AN11" s="202">
        <v>0.443</v>
      </c>
      <c r="AO11" s="394">
        <v>0.117</v>
      </c>
      <c r="AP11" s="1378"/>
      <c r="AQ11" s="201">
        <v>7.343</v>
      </c>
      <c r="AR11" s="202">
        <v>1.207</v>
      </c>
      <c r="AS11" s="394">
        <v>0.391</v>
      </c>
      <c r="AT11" s="1381"/>
      <c r="AU11" s="387">
        <f t="shared" si="0"/>
        <v>8.811599999999999</v>
      </c>
      <c r="AV11" s="202">
        <f t="shared" si="0"/>
        <v>1.4484</v>
      </c>
      <c r="AW11" s="382">
        <f t="shared" si="0"/>
        <v>0.46920000000000006</v>
      </c>
      <c r="AX11" s="1381"/>
      <c r="AY11" s="380">
        <f t="shared" si="1"/>
        <v>9.164063999999998</v>
      </c>
      <c r="AZ11" s="202"/>
      <c r="BA11" s="382">
        <f t="shared" si="2"/>
        <v>0.5161200000000001</v>
      </c>
      <c r="BB11" s="1381"/>
      <c r="BC11" s="380">
        <f t="shared" si="3"/>
        <v>9.164063999999998</v>
      </c>
      <c r="BD11" s="202"/>
      <c r="BE11" s="382">
        <f t="shared" si="4"/>
        <v>0.5677320000000002</v>
      </c>
      <c r="BF11" s="1381"/>
      <c r="BG11" s="380">
        <f t="shared" si="5"/>
        <v>9.164063999999998</v>
      </c>
      <c r="BH11" s="198"/>
      <c r="BI11" s="381">
        <f t="shared" si="6"/>
        <v>0.6131505600000003</v>
      </c>
      <c r="BJ11" s="1381"/>
    </row>
    <row r="12" spans="1:62" ht="15.75">
      <c r="A12" s="1373">
        <v>2</v>
      </c>
      <c r="B12" s="376" t="s">
        <v>325</v>
      </c>
      <c r="C12" s="193">
        <f>C13+C14+C15</f>
        <v>51.2</v>
      </c>
      <c r="D12" s="389">
        <f>D13+D14+D15</f>
        <v>4.514</v>
      </c>
      <c r="E12" s="194">
        <f>E13+E14+E15</f>
        <v>2.991</v>
      </c>
      <c r="F12" s="1376">
        <v>6</v>
      </c>
      <c r="G12" s="193">
        <f>G13+G14+G15</f>
        <v>60.38999999999999</v>
      </c>
      <c r="H12" s="389">
        <f>H13+H14+H15</f>
        <v>5.281000000000001</v>
      </c>
      <c r="I12" s="194">
        <f>I13+I14+I15</f>
        <v>3.5</v>
      </c>
      <c r="J12" s="1376">
        <v>6</v>
      </c>
      <c r="K12" s="193">
        <f>K13+K14+K15</f>
        <v>44.97</v>
      </c>
      <c r="L12" s="389">
        <f>L13+L14+L15</f>
        <v>6.545</v>
      </c>
      <c r="M12" s="194">
        <f>M13+M14+M15</f>
        <v>2.619</v>
      </c>
      <c r="N12" s="1376">
        <v>6</v>
      </c>
      <c r="O12" s="193">
        <f>O13+O14+O15</f>
        <v>55.269999999999996</v>
      </c>
      <c r="P12" s="389">
        <f>P13+P14+P15</f>
        <v>8.220699999999999</v>
      </c>
      <c r="Q12" s="194">
        <f>Q13+Q14+Q15</f>
        <v>3.1695</v>
      </c>
      <c r="R12" s="1376">
        <v>6</v>
      </c>
      <c r="S12" s="193">
        <f>S13+S14+S15</f>
        <v>46.45099999999999</v>
      </c>
      <c r="T12" s="389">
        <f>T13+T14+T15</f>
        <v>6.7941</v>
      </c>
      <c r="U12" s="194">
        <f>U13+U14+U15</f>
        <v>2.66</v>
      </c>
      <c r="V12" s="1379">
        <v>7</v>
      </c>
      <c r="W12" s="385">
        <f>W13+W14+W15</f>
        <v>55.504690000000004</v>
      </c>
      <c r="X12" s="389">
        <f>X13+X14+X15</f>
        <v>8.289414</v>
      </c>
      <c r="Y12" s="194">
        <f>Y13+Y14+Y15</f>
        <v>3.152612</v>
      </c>
      <c r="Z12" s="1379">
        <v>7</v>
      </c>
      <c r="AA12" s="193">
        <f>AA13+AA14+AA15</f>
        <v>41.751999999999995</v>
      </c>
      <c r="AB12" s="389">
        <f>AB13+AB14+AB15</f>
        <v>6.851</v>
      </c>
      <c r="AC12" s="194">
        <f>AC13+AC14+AC15</f>
        <v>2.4899999999999998</v>
      </c>
      <c r="AD12" s="1379">
        <v>7</v>
      </c>
      <c r="AE12" s="385">
        <f>AE13+AE14+AE15</f>
        <v>50.18509</v>
      </c>
      <c r="AF12" s="389">
        <f>AF13+AF14+AF15</f>
        <v>8.289939</v>
      </c>
      <c r="AG12" s="194">
        <f>AG13+AG14+AG15</f>
        <v>2.97736</v>
      </c>
      <c r="AH12" s="1379">
        <v>7</v>
      </c>
      <c r="AI12" s="193">
        <f>AI13+AI14+AI15</f>
        <v>36.45951</v>
      </c>
      <c r="AJ12" s="389">
        <f>AJ13+AJ14+AJ15</f>
        <v>6.320801</v>
      </c>
      <c r="AK12" s="194">
        <f>AK13+AK14+AK15</f>
        <v>2.169697</v>
      </c>
      <c r="AL12" s="1379">
        <v>7</v>
      </c>
      <c r="AM12" s="385">
        <f>AM13+AM14+AM15</f>
        <v>36.45951</v>
      </c>
      <c r="AN12" s="389">
        <f>AN13+AN14+AN15</f>
        <v>6.320801</v>
      </c>
      <c r="AO12" s="194">
        <f>AO13+AO14+AO15</f>
        <v>2.169697</v>
      </c>
      <c r="AP12" s="1379">
        <v>7</v>
      </c>
      <c r="AQ12" s="887"/>
      <c r="AR12" s="389"/>
      <c r="AS12" s="389"/>
      <c r="AT12" s="1379"/>
      <c r="AU12" s="887"/>
      <c r="AV12" s="389"/>
      <c r="AW12" s="389"/>
      <c r="AX12" s="1379"/>
      <c r="AY12" s="887"/>
      <c r="AZ12" s="389"/>
      <c r="BA12" s="389"/>
      <c r="BB12" s="1379"/>
      <c r="BC12" s="887"/>
      <c r="BD12" s="389"/>
      <c r="BE12" s="389"/>
      <c r="BF12" s="1379"/>
      <c r="BG12" s="887"/>
      <c r="BH12" s="389"/>
      <c r="BI12" s="389"/>
      <c r="BJ12" s="1379"/>
    </row>
    <row r="13" spans="1:62" ht="15" customHeight="1">
      <c r="A13" s="1374"/>
      <c r="B13" s="377" t="s">
        <v>214</v>
      </c>
      <c r="C13" s="195">
        <v>36.7</v>
      </c>
      <c r="D13" s="393">
        <v>3.733</v>
      </c>
      <c r="E13" s="196">
        <v>2.209</v>
      </c>
      <c r="F13" s="1377"/>
      <c r="G13" s="195">
        <v>42.83</v>
      </c>
      <c r="H13" s="393">
        <v>4.336</v>
      </c>
      <c r="I13" s="196">
        <v>2.555</v>
      </c>
      <c r="J13" s="1377"/>
      <c r="K13" s="195">
        <v>30.77</v>
      </c>
      <c r="L13" s="393">
        <v>3.999</v>
      </c>
      <c r="M13" s="196">
        <v>1.874</v>
      </c>
      <c r="N13" s="1377"/>
      <c r="O13" s="195">
        <v>38.29</v>
      </c>
      <c r="P13" s="393">
        <v>5.0325</v>
      </c>
      <c r="Q13" s="196">
        <v>2.2826</v>
      </c>
      <c r="R13" s="1377"/>
      <c r="S13" s="197">
        <v>32.434</v>
      </c>
      <c r="T13" s="198">
        <v>4.3945</v>
      </c>
      <c r="U13" s="198">
        <v>1.932</v>
      </c>
      <c r="V13" s="1380"/>
      <c r="W13" s="515">
        <v>38.62669</v>
      </c>
      <c r="X13" s="198">
        <v>5.289644</v>
      </c>
      <c r="Y13" s="393">
        <v>2.279636</v>
      </c>
      <c r="Z13" s="1380"/>
      <c r="AA13" s="197">
        <v>27.451</v>
      </c>
      <c r="AB13" s="198">
        <v>4.018</v>
      </c>
      <c r="AC13" s="393">
        <v>1.757</v>
      </c>
      <c r="AD13" s="1380"/>
      <c r="AE13" s="515">
        <v>32.99259</v>
      </c>
      <c r="AF13" s="198">
        <v>4.837217</v>
      </c>
      <c r="AG13" s="393">
        <v>2.088871</v>
      </c>
      <c r="AH13" s="1380"/>
      <c r="AI13" s="197">
        <v>23.64816</v>
      </c>
      <c r="AJ13" s="198">
        <v>3.565865</v>
      </c>
      <c r="AK13" s="393">
        <v>1.483867</v>
      </c>
      <c r="AL13" s="1380"/>
      <c r="AM13" s="197">
        <v>23.64816</v>
      </c>
      <c r="AN13" s="198">
        <v>3.565865</v>
      </c>
      <c r="AO13" s="393">
        <v>1.483867</v>
      </c>
      <c r="AP13" s="1380"/>
      <c r="AQ13" s="197"/>
      <c r="AR13" s="198"/>
      <c r="AS13" s="393"/>
      <c r="AT13" s="1380"/>
      <c r="AU13" s="515"/>
      <c r="AV13" s="198"/>
      <c r="AW13" s="393"/>
      <c r="AX13" s="1380"/>
      <c r="AY13" s="197"/>
      <c r="AZ13" s="198"/>
      <c r="BA13" s="393"/>
      <c r="BB13" s="1380"/>
      <c r="BC13" s="197"/>
      <c r="BD13" s="198"/>
      <c r="BE13" s="393"/>
      <c r="BF13" s="1380"/>
      <c r="BG13" s="197"/>
      <c r="BH13" s="198"/>
      <c r="BI13" s="393"/>
      <c r="BJ13" s="1380"/>
    </row>
    <row r="14" spans="1:62" ht="15" customHeight="1">
      <c r="A14" s="1374"/>
      <c r="B14" s="377" t="s">
        <v>211</v>
      </c>
      <c r="C14" s="195">
        <v>6.2</v>
      </c>
      <c r="D14" s="393">
        <v>0.294</v>
      </c>
      <c r="E14" s="196">
        <v>0.294</v>
      </c>
      <c r="F14" s="1377"/>
      <c r="G14" s="195">
        <v>7.55</v>
      </c>
      <c r="H14" s="393">
        <v>0.359</v>
      </c>
      <c r="I14" s="196">
        <v>0.359</v>
      </c>
      <c r="J14" s="1377"/>
      <c r="K14" s="195">
        <v>6.13</v>
      </c>
      <c r="L14" s="393">
        <v>1.225</v>
      </c>
      <c r="M14" s="196">
        <v>0.291</v>
      </c>
      <c r="N14" s="1377"/>
      <c r="O14" s="195">
        <v>7.33</v>
      </c>
      <c r="P14" s="393">
        <v>1.5349</v>
      </c>
      <c r="Q14" s="196">
        <v>0.3483</v>
      </c>
      <c r="R14" s="1377"/>
      <c r="S14" s="197">
        <v>6</v>
      </c>
      <c r="T14" s="198">
        <v>1.1587</v>
      </c>
      <c r="U14" s="198">
        <v>0.285</v>
      </c>
      <c r="V14" s="1380"/>
      <c r="W14" s="515">
        <v>7.1475</v>
      </c>
      <c r="X14" s="198">
        <v>1.432796</v>
      </c>
      <c r="Y14" s="393">
        <v>0.33969</v>
      </c>
      <c r="Z14" s="1380"/>
      <c r="AA14" s="197">
        <v>6.224</v>
      </c>
      <c r="AB14" s="198">
        <v>1.407</v>
      </c>
      <c r="AC14" s="393">
        <v>0.296</v>
      </c>
      <c r="AD14" s="1380"/>
      <c r="AE14" s="515">
        <v>7.54575</v>
      </c>
      <c r="AF14" s="198">
        <v>1.723187</v>
      </c>
      <c r="AG14" s="393">
        <v>0.359664</v>
      </c>
      <c r="AH14" s="1380"/>
      <c r="AI14" s="197">
        <v>6.15</v>
      </c>
      <c r="AJ14" s="198">
        <v>1.469526</v>
      </c>
      <c r="AK14" s="393">
        <v>0.293187</v>
      </c>
      <c r="AL14" s="1380"/>
      <c r="AM14" s="197">
        <v>6.15</v>
      </c>
      <c r="AN14" s="198">
        <v>1.469526</v>
      </c>
      <c r="AO14" s="393">
        <v>0.293187</v>
      </c>
      <c r="AP14" s="1380"/>
      <c r="AQ14" s="197"/>
      <c r="AR14" s="198"/>
      <c r="AS14" s="393"/>
      <c r="AT14" s="1380"/>
      <c r="AU14" s="515"/>
      <c r="AV14" s="198"/>
      <c r="AW14" s="393"/>
      <c r="AX14" s="1380"/>
      <c r="AY14" s="197"/>
      <c r="AZ14" s="198"/>
      <c r="BA14" s="393"/>
      <c r="BB14" s="1380"/>
      <c r="BC14" s="197"/>
      <c r="BD14" s="198"/>
      <c r="BE14" s="393"/>
      <c r="BF14" s="1380"/>
      <c r="BG14" s="197"/>
      <c r="BH14" s="198"/>
      <c r="BI14" s="393"/>
      <c r="BJ14" s="1380"/>
    </row>
    <row r="15" spans="1:62" ht="15.75" customHeight="1" thickBot="1">
      <c r="A15" s="1375"/>
      <c r="B15" s="378" t="s">
        <v>212</v>
      </c>
      <c r="C15" s="199">
        <v>8.3</v>
      </c>
      <c r="D15" s="394">
        <v>0.487</v>
      </c>
      <c r="E15" s="200">
        <v>0.488</v>
      </c>
      <c r="F15" s="1378"/>
      <c r="G15" s="199">
        <v>10.01</v>
      </c>
      <c r="H15" s="394">
        <v>0.586</v>
      </c>
      <c r="I15" s="200">
        <v>0.586</v>
      </c>
      <c r="J15" s="1378"/>
      <c r="K15" s="199">
        <v>8.07</v>
      </c>
      <c r="L15" s="394">
        <v>1.321</v>
      </c>
      <c r="M15" s="200">
        <v>0.454</v>
      </c>
      <c r="N15" s="1378"/>
      <c r="O15" s="199">
        <v>9.65</v>
      </c>
      <c r="P15" s="394">
        <v>1.6533</v>
      </c>
      <c r="Q15" s="200">
        <v>0.5386</v>
      </c>
      <c r="R15" s="1378"/>
      <c r="S15" s="201">
        <v>8.017</v>
      </c>
      <c r="T15" s="202">
        <v>1.2409</v>
      </c>
      <c r="U15" s="202">
        <v>0.443</v>
      </c>
      <c r="V15" s="1381"/>
      <c r="W15" s="516">
        <v>9.7305</v>
      </c>
      <c r="X15" s="202">
        <v>1.566974</v>
      </c>
      <c r="Y15" s="394">
        <v>0.533286</v>
      </c>
      <c r="Z15" s="1381"/>
      <c r="AA15" s="201">
        <v>8.077</v>
      </c>
      <c r="AB15" s="202">
        <v>1.426</v>
      </c>
      <c r="AC15" s="395">
        <v>0.437</v>
      </c>
      <c r="AD15" s="1381"/>
      <c r="AE15" s="516">
        <v>9.64675</v>
      </c>
      <c r="AF15" s="202">
        <v>1.729535</v>
      </c>
      <c r="AG15" s="394">
        <v>0.528825</v>
      </c>
      <c r="AH15" s="1381"/>
      <c r="AI15" s="201">
        <v>6.66135</v>
      </c>
      <c r="AJ15" s="202">
        <v>1.28541</v>
      </c>
      <c r="AK15" s="395">
        <v>0.392643</v>
      </c>
      <c r="AL15" s="1381"/>
      <c r="AM15" s="201">
        <v>6.66135</v>
      </c>
      <c r="AN15" s="202">
        <v>1.28541</v>
      </c>
      <c r="AO15" s="395">
        <v>0.392643</v>
      </c>
      <c r="AP15" s="1381"/>
      <c r="AQ15" s="201"/>
      <c r="AR15" s="202"/>
      <c r="AS15" s="395"/>
      <c r="AT15" s="1381"/>
      <c r="AU15" s="515"/>
      <c r="AV15" s="198"/>
      <c r="AW15" s="393"/>
      <c r="AX15" s="1381"/>
      <c r="AY15" s="197"/>
      <c r="AZ15" s="202"/>
      <c r="BA15" s="393"/>
      <c r="BB15" s="1381"/>
      <c r="BC15" s="197"/>
      <c r="BD15" s="202"/>
      <c r="BE15" s="395"/>
      <c r="BF15" s="1381"/>
      <c r="BG15" s="197"/>
      <c r="BH15" s="202"/>
      <c r="BI15" s="395"/>
      <c r="BJ15" s="1381"/>
    </row>
    <row r="16" spans="1:62" ht="15.75">
      <c r="A16" s="1373">
        <v>3</v>
      </c>
      <c r="B16" s="376" t="s">
        <v>221</v>
      </c>
      <c r="C16" s="193">
        <f>C17+C18</f>
        <v>121.58</v>
      </c>
      <c r="D16" s="389">
        <f>D17+D18</f>
        <v>10.058</v>
      </c>
      <c r="E16" s="194">
        <f>E17+E18</f>
        <v>6.253</v>
      </c>
      <c r="F16" s="1376">
        <v>3</v>
      </c>
      <c r="G16" s="193">
        <f>G17+G18</f>
        <v>150.01999999999998</v>
      </c>
      <c r="H16" s="389">
        <f>H17+H18</f>
        <v>12.47</v>
      </c>
      <c r="I16" s="194">
        <f>I17+I18</f>
        <v>7.688000000000001</v>
      </c>
      <c r="J16" s="1376">
        <v>4</v>
      </c>
      <c r="K16" s="193">
        <f>K17+K18</f>
        <v>113.15</v>
      </c>
      <c r="L16" s="389">
        <f>L17+L18</f>
        <v>10.020999999999999</v>
      </c>
      <c r="M16" s="194">
        <f>M17+M18</f>
        <v>5.8100000000000005</v>
      </c>
      <c r="N16" s="1376">
        <v>3</v>
      </c>
      <c r="O16" s="193">
        <f>O17+O18</f>
        <v>136.72</v>
      </c>
      <c r="P16" s="389">
        <f>P17+P18</f>
        <v>12.1637</v>
      </c>
      <c r="Q16" s="194">
        <f>Q17+Q18</f>
        <v>6.9881</v>
      </c>
      <c r="R16" s="1376">
        <v>4</v>
      </c>
      <c r="S16" s="193">
        <f>S17+S18</f>
        <v>105.572</v>
      </c>
      <c r="T16" s="389">
        <f>T17+T18</f>
        <v>9.723700000000001</v>
      </c>
      <c r="U16" s="194">
        <f>U17+U18</f>
        <v>5.647</v>
      </c>
      <c r="V16" s="1376">
        <v>4</v>
      </c>
      <c r="W16" s="385">
        <f>W17+W18</f>
        <v>133.29995</v>
      </c>
      <c r="X16" s="389">
        <f>X17+X18</f>
        <v>12.276325</v>
      </c>
      <c r="Y16" s="194">
        <f>Y17+Y18</f>
        <v>7.477513999999999</v>
      </c>
      <c r="Z16" s="1387">
        <v>4</v>
      </c>
      <c r="AA16" s="193">
        <f>AA17+AA18</f>
        <v>111.2595</v>
      </c>
      <c r="AB16" s="389">
        <f>AB17+AB18</f>
        <v>10.452</v>
      </c>
      <c r="AC16" s="194">
        <f>AC17+AC18</f>
        <v>7.952</v>
      </c>
      <c r="AD16" s="1379">
        <v>4</v>
      </c>
      <c r="AE16" s="385">
        <f>AE17+AE18</f>
        <v>146.2056</v>
      </c>
      <c r="AF16" s="389">
        <f>AF17+AF18</f>
        <v>13.674355</v>
      </c>
      <c r="AG16" s="194">
        <f>AG17+AG18</f>
        <v>10.490639</v>
      </c>
      <c r="AH16" s="1387">
        <v>4</v>
      </c>
      <c r="AI16" s="193">
        <f>AI17+AI18</f>
        <v>106.971075</v>
      </c>
      <c r="AJ16" s="389">
        <f>AJ17+AJ18</f>
        <v>11.158231</v>
      </c>
      <c r="AK16" s="194">
        <f>AK17+AK18</f>
        <v>7.908868</v>
      </c>
      <c r="AL16" s="1379">
        <v>6</v>
      </c>
      <c r="AM16" s="385">
        <f>AM17+AM18</f>
        <v>135.983</v>
      </c>
      <c r="AN16" s="389">
        <f>AN17+AN18</f>
        <v>13.956</v>
      </c>
      <c r="AO16" s="194">
        <f>AO17+AO18</f>
        <v>10.167</v>
      </c>
      <c r="AP16" s="1387">
        <v>6</v>
      </c>
      <c r="AQ16" s="193">
        <f>AQ17+AQ18</f>
        <v>93.7905</v>
      </c>
      <c r="AR16" s="389">
        <f>AR17+AR18</f>
        <v>10.001999999999999</v>
      </c>
      <c r="AS16" s="194">
        <f>AS17+AS18</f>
        <v>8.035</v>
      </c>
      <c r="AT16" s="1379">
        <v>6</v>
      </c>
      <c r="AU16" s="193">
        <f>AU17+AU18</f>
        <v>112.5486</v>
      </c>
      <c r="AV16" s="389">
        <f>AV17+AV18</f>
        <v>12.002399999999998</v>
      </c>
      <c r="AW16" s="194">
        <f>AW17+AW18</f>
        <v>9.642000000000001</v>
      </c>
      <c r="AX16" s="1379">
        <v>6</v>
      </c>
      <c r="AY16" s="193">
        <f>AY17+AY18</f>
        <v>117.050544</v>
      </c>
      <c r="AZ16" s="194">
        <f>AZ17+AZ18</f>
        <v>0</v>
      </c>
      <c r="BA16" s="194">
        <f>BA17+BA18</f>
        <v>10.606200000000001</v>
      </c>
      <c r="BB16" s="1379">
        <v>6</v>
      </c>
      <c r="BC16" s="193">
        <f>BC17+BC18</f>
        <v>117.050544</v>
      </c>
      <c r="BD16" s="194">
        <f>BD17+BD18</f>
        <v>0</v>
      </c>
      <c r="BE16" s="194">
        <f>BE17+BE18</f>
        <v>11.666820000000003</v>
      </c>
      <c r="BF16" s="1379">
        <v>6</v>
      </c>
      <c r="BG16" s="193">
        <f>BG17+BG18</f>
        <v>117.050544</v>
      </c>
      <c r="BH16" s="194">
        <f>BH17+BH18</f>
        <v>0</v>
      </c>
      <c r="BI16" s="194">
        <f>BI17+BI18</f>
        <v>12.600165600000004</v>
      </c>
      <c r="BJ16" s="1379">
        <v>6</v>
      </c>
    </row>
    <row r="17" spans="1:62" ht="15" customHeight="1">
      <c r="A17" s="1374"/>
      <c r="B17" s="377" t="s">
        <v>207</v>
      </c>
      <c r="C17" s="195">
        <v>98.75</v>
      </c>
      <c r="D17" s="393">
        <v>7.991</v>
      </c>
      <c r="E17" s="196">
        <v>5.148</v>
      </c>
      <c r="F17" s="1377"/>
      <c r="G17" s="195">
        <v>121.19</v>
      </c>
      <c r="H17" s="393">
        <v>9.859</v>
      </c>
      <c r="I17" s="196">
        <v>6.293</v>
      </c>
      <c r="J17" s="1377"/>
      <c r="K17" s="195">
        <v>94.05</v>
      </c>
      <c r="L17" s="393">
        <v>8.171</v>
      </c>
      <c r="M17" s="196">
        <v>4.886</v>
      </c>
      <c r="N17" s="1377"/>
      <c r="O17" s="195">
        <v>112.47</v>
      </c>
      <c r="P17" s="393">
        <v>9.8008</v>
      </c>
      <c r="Q17" s="196">
        <v>5.8144</v>
      </c>
      <c r="R17" s="1377"/>
      <c r="S17" s="197">
        <v>84.359</v>
      </c>
      <c r="T17" s="198">
        <v>7.6304</v>
      </c>
      <c r="U17" s="198">
        <v>4.621</v>
      </c>
      <c r="V17" s="1377"/>
      <c r="W17" s="515">
        <v>101.21495</v>
      </c>
      <c r="X17" s="198">
        <v>9.168129</v>
      </c>
      <c r="Y17" s="393">
        <v>5.754466</v>
      </c>
      <c r="Z17" s="1388"/>
      <c r="AA17" s="197">
        <v>88.755</v>
      </c>
      <c r="AB17" s="198">
        <v>8.211</v>
      </c>
      <c r="AC17" s="393">
        <v>6.482</v>
      </c>
      <c r="AD17" s="1380"/>
      <c r="AE17" s="515">
        <v>110.00735</v>
      </c>
      <c r="AF17" s="198">
        <v>10.163328</v>
      </c>
      <c r="AG17" s="393">
        <v>8.04373</v>
      </c>
      <c r="AH17" s="1388"/>
      <c r="AI17" s="197">
        <v>85.081575</v>
      </c>
      <c r="AJ17" s="198">
        <v>8.851348</v>
      </c>
      <c r="AK17" s="393">
        <v>6.478754</v>
      </c>
      <c r="AL17" s="1380"/>
      <c r="AM17" s="515">
        <v>102.448</v>
      </c>
      <c r="AN17" s="198">
        <v>10.513</v>
      </c>
      <c r="AO17" s="393">
        <v>7.847</v>
      </c>
      <c r="AP17" s="1388"/>
      <c r="AQ17" s="197">
        <v>74.6925</v>
      </c>
      <c r="AR17" s="198">
        <v>8.1</v>
      </c>
      <c r="AS17" s="393">
        <v>6.711</v>
      </c>
      <c r="AT17" s="1380"/>
      <c r="AU17" s="386">
        <f aca="true" t="shared" si="7" ref="AU17:AW19">AQ17/10*12</f>
        <v>89.631</v>
      </c>
      <c r="AV17" s="198">
        <f t="shared" si="7"/>
        <v>9.719999999999999</v>
      </c>
      <c r="AW17" s="381">
        <f t="shared" si="7"/>
        <v>8.0532</v>
      </c>
      <c r="AX17" s="1380"/>
      <c r="AY17" s="380">
        <f>AU17*1.04</f>
        <v>93.21624</v>
      </c>
      <c r="AZ17" s="198"/>
      <c r="BA17" s="381">
        <f>AW17*1.1</f>
        <v>8.85852</v>
      </c>
      <c r="BB17" s="1380"/>
      <c r="BC17" s="380">
        <f>AY17</f>
        <v>93.21624</v>
      </c>
      <c r="BD17" s="198"/>
      <c r="BE17" s="381">
        <f>BA17*1.1</f>
        <v>9.744372000000002</v>
      </c>
      <c r="BF17" s="1380"/>
      <c r="BG17" s="380">
        <f>AY17</f>
        <v>93.21624</v>
      </c>
      <c r="BH17" s="198"/>
      <c r="BI17" s="381">
        <f>BE17*1.08</f>
        <v>10.523921760000002</v>
      </c>
      <c r="BJ17" s="1380"/>
    </row>
    <row r="18" spans="1:62" ht="15.75" customHeight="1" thickBot="1">
      <c r="A18" s="1375"/>
      <c r="B18" s="378" t="s">
        <v>208</v>
      </c>
      <c r="C18" s="199">
        <v>22.83</v>
      </c>
      <c r="D18" s="394">
        <v>2.067</v>
      </c>
      <c r="E18" s="200">
        <v>1.105</v>
      </c>
      <c r="F18" s="1378"/>
      <c r="G18" s="199">
        <v>28.83</v>
      </c>
      <c r="H18" s="394">
        <v>2.611</v>
      </c>
      <c r="I18" s="200">
        <v>1.395</v>
      </c>
      <c r="J18" s="1378"/>
      <c r="K18" s="199">
        <v>19.1</v>
      </c>
      <c r="L18" s="394">
        <v>1.85</v>
      </c>
      <c r="M18" s="200">
        <v>0.924</v>
      </c>
      <c r="N18" s="1378"/>
      <c r="O18" s="199">
        <v>24.25</v>
      </c>
      <c r="P18" s="394">
        <v>2.3629</v>
      </c>
      <c r="Q18" s="200">
        <v>1.1737</v>
      </c>
      <c r="R18" s="1378"/>
      <c r="S18" s="201">
        <v>21.213</v>
      </c>
      <c r="T18" s="202">
        <v>2.0933</v>
      </c>
      <c r="U18" s="202">
        <v>1.026</v>
      </c>
      <c r="V18" s="1378"/>
      <c r="W18" s="516">
        <v>32.085</v>
      </c>
      <c r="X18" s="202">
        <v>3.108196</v>
      </c>
      <c r="Y18" s="394">
        <v>1.723048</v>
      </c>
      <c r="Z18" s="1389"/>
      <c r="AA18" s="201">
        <v>22.5045</v>
      </c>
      <c r="AB18" s="202">
        <v>2.241</v>
      </c>
      <c r="AC18" s="394">
        <v>1.47</v>
      </c>
      <c r="AD18" s="1381"/>
      <c r="AE18" s="516">
        <v>36.19825</v>
      </c>
      <c r="AF18" s="202">
        <v>3.511027</v>
      </c>
      <c r="AG18" s="394">
        <v>2.446909</v>
      </c>
      <c r="AH18" s="1389"/>
      <c r="AI18" s="201">
        <v>21.8895</v>
      </c>
      <c r="AJ18" s="202">
        <v>2.306883</v>
      </c>
      <c r="AK18" s="394">
        <v>1.430114</v>
      </c>
      <c r="AL18" s="1381"/>
      <c r="AM18" s="516">
        <v>33.535</v>
      </c>
      <c r="AN18" s="202">
        <v>3.443</v>
      </c>
      <c r="AO18" s="394">
        <v>2.32</v>
      </c>
      <c r="AP18" s="1389"/>
      <c r="AQ18" s="201">
        <v>19.098</v>
      </c>
      <c r="AR18" s="202">
        <v>1.902</v>
      </c>
      <c r="AS18" s="394">
        <v>1.324</v>
      </c>
      <c r="AT18" s="1381"/>
      <c r="AU18" s="526">
        <f t="shared" si="7"/>
        <v>22.9176</v>
      </c>
      <c r="AV18" s="519">
        <f t="shared" si="7"/>
        <v>2.2824</v>
      </c>
      <c r="AW18" s="530">
        <f t="shared" si="7"/>
        <v>1.5888000000000002</v>
      </c>
      <c r="AX18" s="1380"/>
      <c r="AY18" s="895">
        <f>AU18*1.04</f>
        <v>23.834304</v>
      </c>
      <c r="AZ18" s="519"/>
      <c r="BA18" s="530">
        <f>AW18*1.1</f>
        <v>1.7476800000000003</v>
      </c>
      <c r="BB18" s="1380"/>
      <c r="BC18" s="895">
        <f>AY18</f>
        <v>23.834304</v>
      </c>
      <c r="BD18" s="519"/>
      <c r="BE18" s="530">
        <f>BA18*1.1</f>
        <v>1.9224480000000006</v>
      </c>
      <c r="BF18" s="1380"/>
      <c r="BG18" s="895">
        <f>AY18</f>
        <v>23.834304</v>
      </c>
      <c r="BH18" s="519"/>
      <c r="BI18" s="530">
        <f>BE18*1.08</f>
        <v>2.076243840000001</v>
      </c>
      <c r="BJ18" s="1380"/>
    </row>
    <row r="19" spans="1:62" ht="16.5" thickBot="1">
      <c r="A19" s="371">
        <v>4</v>
      </c>
      <c r="B19" s="379" t="s">
        <v>219</v>
      </c>
      <c r="C19" s="372"/>
      <c r="D19" s="395"/>
      <c r="E19" s="373"/>
      <c r="F19" s="353"/>
      <c r="G19" s="372"/>
      <c r="H19" s="395"/>
      <c r="I19" s="373"/>
      <c r="J19" s="353"/>
      <c r="K19" s="372"/>
      <c r="L19" s="395"/>
      <c r="M19" s="373"/>
      <c r="N19" s="353"/>
      <c r="O19" s="372"/>
      <c r="P19" s="395"/>
      <c r="Q19" s="373"/>
      <c r="R19" s="353"/>
      <c r="S19" s="374">
        <v>14.701</v>
      </c>
      <c r="T19" s="375">
        <v>2.1674</v>
      </c>
      <c r="U19" s="373">
        <v>2.4177</v>
      </c>
      <c r="V19" s="353">
        <v>3</v>
      </c>
      <c r="W19" s="517">
        <v>17.2389</v>
      </c>
      <c r="X19" s="375">
        <v>2.584491</v>
      </c>
      <c r="Y19" s="375">
        <v>2.930663</v>
      </c>
      <c r="Z19" s="353">
        <v>3</v>
      </c>
      <c r="AA19" s="374">
        <v>11.451</v>
      </c>
      <c r="AB19" s="375">
        <v>2.473</v>
      </c>
      <c r="AC19" s="395">
        <v>2.234</v>
      </c>
      <c r="AD19" s="353">
        <v>3</v>
      </c>
      <c r="AE19" s="517">
        <v>13.36125</v>
      </c>
      <c r="AF19" s="375">
        <v>2.980852</v>
      </c>
      <c r="AG19" s="375">
        <v>2.604911</v>
      </c>
      <c r="AH19" s="608">
        <v>3</v>
      </c>
      <c r="AI19" s="374">
        <v>7.93585</v>
      </c>
      <c r="AJ19" s="375">
        <v>2.05840149</v>
      </c>
      <c r="AK19" s="395">
        <v>1.584385</v>
      </c>
      <c r="AL19" s="715">
        <v>4</v>
      </c>
      <c r="AM19" s="517">
        <v>9.297</v>
      </c>
      <c r="AN19" s="375">
        <v>2.349</v>
      </c>
      <c r="AO19" s="375">
        <v>1.857</v>
      </c>
      <c r="AP19" s="715">
        <v>4</v>
      </c>
      <c r="AQ19" s="374">
        <v>5.536</v>
      </c>
      <c r="AR19" s="375">
        <v>1.37</v>
      </c>
      <c r="AS19" s="395">
        <v>1.289</v>
      </c>
      <c r="AT19" s="608">
        <v>4</v>
      </c>
      <c r="AU19" s="527">
        <f t="shared" si="7"/>
        <v>6.6432</v>
      </c>
      <c r="AV19" s="521">
        <f t="shared" si="7"/>
        <v>1.6440000000000001</v>
      </c>
      <c r="AW19" s="531">
        <f t="shared" si="7"/>
        <v>1.5467999999999997</v>
      </c>
      <c r="AX19" s="522">
        <v>4</v>
      </c>
      <c r="AY19" s="896">
        <f>AU19*1.04</f>
        <v>6.908928</v>
      </c>
      <c r="AZ19" s="521"/>
      <c r="BA19" s="531">
        <f>AW19*1.1</f>
        <v>1.7014799999999999</v>
      </c>
      <c r="BB19" s="522">
        <v>4</v>
      </c>
      <c r="BC19" s="896">
        <f>AY19</f>
        <v>6.908928</v>
      </c>
      <c r="BD19" s="521"/>
      <c r="BE19" s="531">
        <f>BA19*1.1</f>
        <v>1.871628</v>
      </c>
      <c r="BF19" s="522">
        <v>4</v>
      </c>
      <c r="BG19" s="896">
        <f>AY19</f>
        <v>6.908928</v>
      </c>
      <c r="BH19" s="521"/>
      <c r="BI19" s="531">
        <f>BE19*1.08</f>
        <v>2.02135824</v>
      </c>
      <c r="BJ19" s="522">
        <v>4</v>
      </c>
    </row>
    <row r="20" spans="1:62" ht="16.5" thickBot="1">
      <c r="A20" s="371">
        <v>5</v>
      </c>
      <c r="B20" s="379" t="s">
        <v>339</v>
      </c>
      <c r="C20" s="372"/>
      <c r="D20" s="395"/>
      <c r="E20" s="373"/>
      <c r="F20" s="353"/>
      <c r="G20" s="372"/>
      <c r="H20" s="395"/>
      <c r="I20" s="373"/>
      <c r="J20" s="353"/>
      <c r="K20" s="372"/>
      <c r="L20" s="395"/>
      <c r="M20" s="373"/>
      <c r="N20" s="353"/>
      <c r="O20" s="372"/>
      <c r="P20" s="395"/>
      <c r="Q20" s="373"/>
      <c r="R20" s="353"/>
      <c r="S20" s="374">
        <v>15.756</v>
      </c>
      <c r="T20" s="375">
        <v>0.735</v>
      </c>
      <c r="U20" s="373">
        <v>0.8403</v>
      </c>
      <c r="V20" s="353">
        <v>2</v>
      </c>
      <c r="W20" s="517">
        <v>19.428</v>
      </c>
      <c r="X20" s="375">
        <v>0.90664</v>
      </c>
      <c r="Y20" s="375">
        <v>1.03616</v>
      </c>
      <c r="Z20" s="403">
        <v>2</v>
      </c>
      <c r="AA20" s="374">
        <v>8.744</v>
      </c>
      <c r="AB20" s="375">
        <v>0.309</v>
      </c>
      <c r="AC20" s="395">
        <v>0.4</v>
      </c>
      <c r="AD20" s="403">
        <v>2</v>
      </c>
      <c r="AE20" s="517">
        <v>9.5</v>
      </c>
      <c r="AF20" s="375">
        <v>0.329873</v>
      </c>
      <c r="AG20" s="375">
        <v>0.430826</v>
      </c>
      <c r="AH20" s="607">
        <v>2</v>
      </c>
      <c r="AI20" s="374">
        <v>1.476</v>
      </c>
      <c r="AJ20" s="375">
        <v>0.039</v>
      </c>
      <c r="AK20" s="395">
        <v>0.059</v>
      </c>
      <c r="AL20" s="714">
        <v>2</v>
      </c>
      <c r="AM20" s="517">
        <v>1.476</v>
      </c>
      <c r="AN20" s="375">
        <v>0.039</v>
      </c>
      <c r="AO20" s="395">
        <v>0.059</v>
      </c>
      <c r="AP20" s="714">
        <v>2</v>
      </c>
      <c r="AQ20" s="374"/>
      <c r="AR20" s="375"/>
      <c r="AS20" s="395"/>
      <c r="AT20" s="607"/>
      <c r="AU20" s="528"/>
      <c r="AV20" s="520"/>
      <c r="AW20" s="532"/>
      <c r="AX20" s="607"/>
      <c r="AY20" s="528"/>
      <c r="AZ20" s="520"/>
      <c r="BA20" s="532"/>
      <c r="BB20" s="403"/>
      <c r="BC20" s="880"/>
      <c r="BD20" s="375"/>
      <c r="BE20" s="383"/>
      <c r="BF20" s="485"/>
      <c r="BG20" s="880"/>
      <c r="BH20" s="375"/>
      <c r="BI20" s="383"/>
      <c r="BJ20" s="485"/>
    </row>
    <row r="21" spans="1:62" ht="15.75" thickBot="1">
      <c r="A21" s="1382" t="s">
        <v>200</v>
      </c>
      <c r="B21" s="1383"/>
      <c r="C21" s="203">
        <f aca="true" t="shared" si="8" ref="C21:R21">C5+C12+C16</f>
        <v>194.49</v>
      </c>
      <c r="D21" s="396">
        <f t="shared" si="8"/>
        <v>18.524</v>
      </c>
      <c r="E21" s="204">
        <f t="shared" si="8"/>
        <v>10.236</v>
      </c>
      <c r="F21" s="205">
        <f t="shared" si="8"/>
        <v>11</v>
      </c>
      <c r="G21" s="203">
        <f t="shared" si="8"/>
        <v>236.46999999999997</v>
      </c>
      <c r="H21" s="396">
        <f t="shared" si="8"/>
        <v>22.167</v>
      </c>
      <c r="I21" s="204">
        <f t="shared" si="8"/>
        <v>12.393</v>
      </c>
      <c r="J21" s="205">
        <f t="shared" si="8"/>
        <v>12</v>
      </c>
      <c r="K21" s="203">
        <f t="shared" si="8"/>
        <v>181.56</v>
      </c>
      <c r="L21" s="396">
        <f t="shared" si="8"/>
        <v>19.049</v>
      </c>
      <c r="M21" s="204">
        <f t="shared" si="8"/>
        <v>9.566</v>
      </c>
      <c r="N21" s="205">
        <f t="shared" si="8"/>
        <v>13</v>
      </c>
      <c r="O21" s="203">
        <f t="shared" si="8"/>
        <v>220.66</v>
      </c>
      <c r="P21" s="396">
        <f t="shared" si="8"/>
        <v>23.4194</v>
      </c>
      <c r="Q21" s="204">
        <f t="shared" si="8"/>
        <v>11.5486</v>
      </c>
      <c r="R21" s="205">
        <f t="shared" si="8"/>
        <v>13</v>
      </c>
      <c r="S21" s="203">
        <f aca="true" t="shared" si="9" ref="S21:AD21">S5+S12+S16+S19+S20</f>
        <v>203.85399999999998</v>
      </c>
      <c r="T21" s="206">
        <f t="shared" si="9"/>
        <v>21.6813</v>
      </c>
      <c r="U21" s="204">
        <f t="shared" si="9"/>
        <v>12.599499999999999</v>
      </c>
      <c r="V21" s="205">
        <f t="shared" si="9"/>
        <v>19</v>
      </c>
      <c r="W21" s="203">
        <f t="shared" si="9"/>
        <v>250.96889</v>
      </c>
      <c r="X21" s="206">
        <f t="shared" si="9"/>
        <v>26.756626999999998</v>
      </c>
      <c r="Y21" s="204">
        <f t="shared" si="9"/>
        <v>15.833222999999998</v>
      </c>
      <c r="Z21" s="205">
        <f t="shared" si="9"/>
        <v>20</v>
      </c>
      <c r="AA21" s="203">
        <f t="shared" si="9"/>
        <v>192.83749999999998</v>
      </c>
      <c r="AB21" s="206">
        <f t="shared" si="9"/>
        <v>22.157</v>
      </c>
      <c r="AC21" s="204">
        <f t="shared" si="9"/>
        <v>14.027000000000001</v>
      </c>
      <c r="AD21" s="205">
        <f t="shared" si="9"/>
        <v>20</v>
      </c>
      <c r="AE21" s="203">
        <f aca="true" t="shared" si="10" ref="AE21:AX21">AE5+AE12+AE16+AE19+AE20</f>
        <v>243.36194000000003</v>
      </c>
      <c r="AF21" s="206">
        <f t="shared" si="10"/>
        <v>27.820177</v>
      </c>
      <c r="AG21" s="204">
        <f t="shared" si="10"/>
        <v>17.672261</v>
      </c>
      <c r="AH21" s="205">
        <f t="shared" si="10"/>
        <v>20</v>
      </c>
      <c r="AI21" s="203">
        <f aca="true" t="shared" si="11" ref="AI21:AP21">AI5+AI12+AI16+AI19+AI20</f>
        <v>195.786235</v>
      </c>
      <c r="AJ21" s="206">
        <f t="shared" si="11"/>
        <v>24.311775490000002</v>
      </c>
      <c r="AK21" s="204">
        <f t="shared" si="11"/>
        <v>13.963871</v>
      </c>
      <c r="AL21" s="205">
        <f t="shared" si="11"/>
        <v>24</v>
      </c>
      <c r="AM21" s="388">
        <f t="shared" si="11"/>
        <v>246.61761</v>
      </c>
      <c r="AN21" s="206">
        <f t="shared" si="11"/>
        <v>30.161801</v>
      </c>
      <c r="AO21" s="204">
        <f t="shared" si="11"/>
        <v>17.834697000000002</v>
      </c>
      <c r="AP21" s="205">
        <f t="shared" si="11"/>
        <v>24</v>
      </c>
      <c r="AQ21" s="203">
        <f t="shared" si="10"/>
        <v>203.5035</v>
      </c>
      <c r="AR21" s="206">
        <f t="shared" si="10"/>
        <v>26.038</v>
      </c>
      <c r="AS21" s="204">
        <f t="shared" si="10"/>
        <v>16.688000000000002</v>
      </c>
      <c r="AT21" s="205">
        <f t="shared" si="10"/>
        <v>22</v>
      </c>
      <c r="AU21" s="529">
        <f t="shared" si="10"/>
        <v>244.2042</v>
      </c>
      <c r="AV21" s="206">
        <f t="shared" si="10"/>
        <v>31.245599999999996</v>
      </c>
      <c r="AW21" s="533">
        <f t="shared" si="10"/>
        <v>20.025600000000004</v>
      </c>
      <c r="AX21" s="205">
        <f t="shared" si="10"/>
        <v>22</v>
      </c>
      <c r="AY21" s="203">
        <f>AY5+AY12+AY16+AY19+AY20</f>
        <v>253.97236800000002</v>
      </c>
      <c r="AZ21" s="206">
        <f>AZ5+AZ12+AZ16+AZ19+AZ20</f>
        <v>0</v>
      </c>
      <c r="BA21" s="204">
        <f>BA5+BA12+BA16+BA19+BA20</f>
        <v>22.028160000000003</v>
      </c>
      <c r="BB21" s="205">
        <f>BB5+BB12+BB16+BB19+BB20</f>
        <v>23</v>
      </c>
      <c r="BC21" s="203">
        <f aca="true" t="shared" si="12" ref="BC21:BJ21">BC5+BC12+BC16+BC19+BC20</f>
        <v>253.97236800000002</v>
      </c>
      <c r="BD21" s="206">
        <f t="shared" si="12"/>
        <v>0</v>
      </c>
      <c r="BE21" s="204">
        <f t="shared" si="12"/>
        <v>24.230976000000005</v>
      </c>
      <c r="BF21" s="205">
        <f t="shared" si="12"/>
        <v>23</v>
      </c>
      <c r="BG21" s="203">
        <f t="shared" si="12"/>
        <v>253.97236800000002</v>
      </c>
      <c r="BH21" s="206">
        <f t="shared" si="12"/>
        <v>0</v>
      </c>
      <c r="BI21" s="204">
        <f t="shared" si="12"/>
        <v>26.169454080000012</v>
      </c>
      <c r="BJ21" s="205">
        <f t="shared" si="12"/>
        <v>23</v>
      </c>
    </row>
    <row r="22" spans="1:62" ht="16.5" thickBot="1">
      <c r="A22" s="207">
        <v>6</v>
      </c>
      <c r="B22" s="208" t="s">
        <v>219</v>
      </c>
      <c r="C22" s="209">
        <v>47.98</v>
      </c>
      <c r="D22" s="397">
        <v>4.545</v>
      </c>
      <c r="E22" s="210">
        <v>5.859</v>
      </c>
      <c r="F22" s="211">
        <v>4</v>
      </c>
      <c r="G22" s="209">
        <v>56.42</v>
      </c>
      <c r="H22" s="397">
        <v>5.278</v>
      </c>
      <c r="I22" s="210">
        <v>7.032</v>
      </c>
      <c r="J22" s="211">
        <v>4</v>
      </c>
      <c r="K22" s="209">
        <v>50.95</v>
      </c>
      <c r="L22" s="397">
        <v>5.997</v>
      </c>
      <c r="M22" s="210">
        <v>7.089</v>
      </c>
      <c r="N22" s="211">
        <v>4</v>
      </c>
      <c r="O22" s="209">
        <v>60.67</v>
      </c>
      <c r="P22" s="397">
        <v>7.196</v>
      </c>
      <c r="Q22" s="210">
        <v>8.507</v>
      </c>
      <c r="R22" s="211">
        <v>3</v>
      </c>
      <c r="S22" s="209">
        <v>48.1444</v>
      </c>
      <c r="T22" s="390">
        <v>7.0499</v>
      </c>
      <c r="U22" s="210">
        <v>7.3838</v>
      </c>
      <c r="V22" s="211">
        <v>3</v>
      </c>
      <c r="W22" s="518">
        <v>56.3804</v>
      </c>
      <c r="X22" s="390">
        <v>8.411799</v>
      </c>
      <c r="Y22" s="210">
        <v>8.780625</v>
      </c>
      <c r="Z22" s="211">
        <v>3</v>
      </c>
      <c r="AA22" s="209">
        <v>56.71</v>
      </c>
      <c r="AB22" s="390">
        <v>7.632</v>
      </c>
      <c r="AC22" s="525">
        <v>8.508</v>
      </c>
      <c r="AD22" s="211">
        <v>4</v>
      </c>
      <c r="AE22" s="518">
        <v>64.9678</v>
      </c>
      <c r="AF22" s="390">
        <v>8.880299</v>
      </c>
      <c r="AG22" s="210">
        <v>9.831988</v>
      </c>
      <c r="AH22" s="211">
        <v>3</v>
      </c>
      <c r="AI22" s="209">
        <v>47.44</v>
      </c>
      <c r="AJ22" s="390">
        <v>8.34867</v>
      </c>
      <c r="AK22" s="525">
        <v>8.077605</v>
      </c>
      <c r="AL22" s="211">
        <v>4</v>
      </c>
      <c r="AM22" s="518">
        <v>54.5</v>
      </c>
      <c r="AN22" s="390">
        <v>9.41</v>
      </c>
      <c r="AO22" s="210">
        <v>9.25</v>
      </c>
      <c r="AP22" s="211">
        <v>4</v>
      </c>
      <c r="AQ22" s="209">
        <v>40.164</v>
      </c>
      <c r="AR22" s="390">
        <v>7.423</v>
      </c>
      <c r="AS22" s="525">
        <v>8.078</v>
      </c>
      <c r="AT22" s="211">
        <v>4</v>
      </c>
      <c r="AU22" s="527">
        <v>50</v>
      </c>
      <c r="AV22" s="523">
        <f>AR22/10*12</f>
        <v>8.907599999999999</v>
      </c>
      <c r="AW22" s="524">
        <f>AS22/10*12</f>
        <v>9.6936</v>
      </c>
      <c r="AX22" s="211">
        <v>4</v>
      </c>
      <c r="AY22" s="380">
        <v>50</v>
      </c>
      <c r="AZ22" s="390"/>
      <c r="BA22" s="381">
        <f>AW22*1.1</f>
        <v>10.66296</v>
      </c>
      <c r="BB22" s="211">
        <v>4</v>
      </c>
      <c r="BC22" s="380">
        <f>AY22</f>
        <v>50</v>
      </c>
      <c r="BD22" s="894"/>
      <c r="BE22" s="383">
        <f>BA22*1.1</f>
        <v>11.729256000000001</v>
      </c>
      <c r="BF22" s="211">
        <v>4</v>
      </c>
      <c r="BG22" s="534">
        <f>AY22</f>
        <v>50</v>
      </c>
      <c r="BH22" s="390"/>
      <c r="BI22" s="535">
        <f>BE22*1.081</f>
        <v>12.679325736000001</v>
      </c>
      <c r="BJ22" s="211">
        <v>4</v>
      </c>
    </row>
    <row r="23" spans="1:62" ht="15.75" thickBot="1">
      <c r="A23" s="1382" t="s">
        <v>270</v>
      </c>
      <c r="B23" s="1383"/>
      <c r="C23" s="203">
        <f>C21+C22</f>
        <v>242.47</v>
      </c>
      <c r="D23" s="396">
        <f>D21+D22</f>
        <v>23.069000000000003</v>
      </c>
      <c r="E23" s="204">
        <f>E21+E22</f>
        <v>16.095</v>
      </c>
      <c r="F23" s="205">
        <f>F21+F22</f>
        <v>15</v>
      </c>
      <c r="G23" s="203">
        <f>G21+G22</f>
        <v>292.89</v>
      </c>
      <c r="H23" s="396">
        <f aca="true" t="shared" si="13" ref="H23:AD23">H21+H22</f>
        <v>27.445</v>
      </c>
      <c r="I23" s="204">
        <f t="shared" si="13"/>
        <v>19.425</v>
      </c>
      <c r="J23" s="205">
        <f t="shared" si="13"/>
        <v>16</v>
      </c>
      <c r="K23" s="203">
        <f t="shared" si="13"/>
        <v>232.51</v>
      </c>
      <c r="L23" s="396">
        <f t="shared" si="13"/>
        <v>25.046</v>
      </c>
      <c r="M23" s="204">
        <f t="shared" si="13"/>
        <v>16.655</v>
      </c>
      <c r="N23" s="205">
        <f t="shared" si="13"/>
        <v>17</v>
      </c>
      <c r="O23" s="203">
        <f t="shared" si="13"/>
        <v>281.33</v>
      </c>
      <c r="P23" s="396">
        <f t="shared" si="13"/>
        <v>30.6154</v>
      </c>
      <c r="Q23" s="204">
        <f t="shared" si="13"/>
        <v>20.0556</v>
      </c>
      <c r="R23" s="205">
        <f t="shared" si="13"/>
        <v>16</v>
      </c>
      <c r="S23" s="203">
        <f t="shared" si="13"/>
        <v>251.99839999999998</v>
      </c>
      <c r="T23" s="206">
        <f t="shared" si="13"/>
        <v>28.7312</v>
      </c>
      <c r="U23" s="204">
        <f t="shared" si="13"/>
        <v>19.9833</v>
      </c>
      <c r="V23" s="205">
        <f t="shared" si="13"/>
        <v>22</v>
      </c>
      <c r="W23" s="388">
        <f t="shared" si="13"/>
        <v>307.34929</v>
      </c>
      <c r="X23" s="206">
        <f t="shared" si="13"/>
        <v>35.168426</v>
      </c>
      <c r="Y23" s="204">
        <f t="shared" si="13"/>
        <v>24.613847999999997</v>
      </c>
      <c r="Z23" s="205">
        <f t="shared" si="13"/>
        <v>23</v>
      </c>
      <c r="AA23" s="203">
        <f t="shared" si="13"/>
        <v>249.54749999999999</v>
      </c>
      <c r="AB23" s="391">
        <f t="shared" si="13"/>
        <v>29.789</v>
      </c>
      <c r="AC23" s="204">
        <f t="shared" si="13"/>
        <v>22.535</v>
      </c>
      <c r="AD23" s="205">
        <f t="shared" si="13"/>
        <v>24</v>
      </c>
      <c r="AE23" s="388">
        <f aca="true" t="shared" si="14" ref="AE23:BB23">AE21+AE22</f>
        <v>308.32974</v>
      </c>
      <c r="AF23" s="206">
        <f t="shared" si="14"/>
        <v>36.700476</v>
      </c>
      <c r="AG23" s="204">
        <f t="shared" si="14"/>
        <v>27.504249</v>
      </c>
      <c r="AH23" s="205">
        <f t="shared" si="14"/>
        <v>23</v>
      </c>
      <c r="AI23" s="203">
        <f aca="true" t="shared" si="15" ref="AI23:AP23">AI21+AI22</f>
        <v>243.226235</v>
      </c>
      <c r="AJ23" s="391">
        <f t="shared" si="15"/>
        <v>32.66044549</v>
      </c>
      <c r="AK23" s="204">
        <f t="shared" si="15"/>
        <v>22.041476</v>
      </c>
      <c r="AL23" s="205">
        <f t="shared" si="15"/>
        <v>28</v>
      </c>
      <c r="AM23" s="388">
        <f t="shared" si="15"/>
        <v>301.11761</v>
      </c>
      <c r="AN23" s="206">
        <f t="shared" si="15"/>
        <v>39.571801</v>
      </c>
      <c r="AO23" s="204">
        <f t="shared" si="15"/>
        <v>27.084697000000002</v>
      </c>
      <c r="AP23" s="205">
        <f t="shared" si="15"/>
        <v>28</v>
      </c>
      <c r="AQ23" s="203">
        <f t="shared" si="14"/>
        <v>243.66750000000002</v>
      </c>
      <c r="AR23" s="391">
        <f t="shared" si="14"/>
        <v>33.461</v>
      </c>
      <c r="AS23" s="204">
        <f t="shared" si="14"/>
        <v>24.766000000000002</v>
      </c>
      <c r="AT23" s="205">
        <f t="shared" si="14"/>
        <v>26</v>
      </c>
      <c r="AU23" s="203">
        <f>AU21+AU22</f>
        <v>294.2042</v>
      </c>
      <c r="AV23" s="391">
        <f>AV21+AV22</f>
        <v>40.1532</v>
      </c>
      <c r="AW23" s="204">
        <f>AW21+AW22</f>
        <v>29.719200000000004</v>
      </c>
      <c r="AX23" s="205">
        <f>AX21+AX22</f>
        <v>26</v>
      </c>
      <c r="AY23" s="203">
        <f t="shared" si="14"/>
        <v>303.972368</v>
      </c>
      <c r="AZ23" s="206">
        <f t="shared" si="14"/>
        <v>0</v>
      </c>
      <c r="BA23" s="204">
        <f t="shared" si="14"/>
        <v>32.691120000000005</v>
      </c>
      <c r="BB23" s="205">
        <f t="shared" si="14"/>
        <v>27</v>
      </c>
      <c r="BC23" s="203">
        <f aca="true" t="shared" si="16" ref="BC23:BJ23">BC21+BC22</f>
        <v>303.972368</v>
      </c>
      <c r="BD23" s="206">
        <f t="shared" si="16"/>
        <v>0</v>
      </c>
      <c r="BE23" s="204">
        <f t="shared" si="16"/>
        <v>35.960232000000005</v>
      </c>
      <c r="BF23" s="205">
        <f t="shared" si="16"/>
        <v>27</v>
      </c>
      <c r="BG23" s="203">
        <f t="shared" si="16"/>
        <v>303.972368</v>
      </c>
      <c r="BH23" s="206">
        <f t="shared" si="16"/>
        <v>0</v>
      </c>
      <c r="BI23" s="204">
        <f t="shared" si="16"/>
        <v>38.84877981600001</v>
      </c>
      <c r="BJ23" s="205">
        <f t="shared" si="16"/>
        <v>27</v>
      </c>
    </row>
    <row r="25" spans="2:53" ht="15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S25" s="404">
        <f>S17+S19+S20</f>
        <v>114.816</v>
      </c>
      <c r="T25" s="404">
        <f>T17+T19+T20</f>
        <v>10.5328</v>
      </c>
      <c r="U25" s="404">
        <f>U17+U19+U20</f>
        <v>7.8790000000000004</v>
      </c>
      <c r="W25" s="404">
        <f>W17+W19+W20</f>
        <v>137.88185000000001</v>
      </c>
      <c r="X25" s="404">
        <f>X17+X19+X20</f>
        <v>12.65926</v>
      </c>
      <c r="Y25" s="404">
        <f>Y17+Y19+Y20</f>
        <v>9.721289</v>
      </c>
      <c r="AA25" s="404"/>
      <c r="AB25" s="404"/>
      <c r="AC25" s="404"/>
      <c r="AY25" s="404"/>
      <c r="AZ25" s="404"/>
      <c r="BA25" s="404"/>
    </row>
    <row r="26" spans="2:53" ht="15">
      <c r="B26" s="398"/>
      <c r="C26" s="399"/>
      <c r="D26" s="400"/>
      <c r="E26" s="400"/>
      <c r="F26" s="400"/>
      <c r="G26" s="400"/>
      <c r="H26" s="186"/>
      <c r="I26" s="186"/>
      <c r="J26" s="186"/>
      <c r="K26" s="186"/>
      <c r="L26" s="186"/>
      <c r="M26" s="186"/>
      <c r="S26" s="404">
        <f>S25+S22</f>
        <v>162.9604</v>
      </c>
      <c r="T26" s="404">
        <f>T25+T22</f>
        <v>17.5827</v>
      </c>
      <c r="U26" s="404">
        <f>U25+U22</f>
        <v>15.2628</v>
      </c>
      <c r="W26" s="404">
        <f>W25+W22</f>
        <v>194.26225000000002</v>
      </c>
      <c r="X26" s="404">
        <f>X25+X22</f>
        <v>21.071058999999998</v>
      </c>
      <c r="Y26" s="404">
        <f>Y25+Y22</f>
        <v>18.501914</v>
      </c>
      <c r="AA26" s="404"/>
      <c r="AB26" s="404"/>
      <c r="AC26" s="404"/>
      <c r="AY26" s="404"/>
      <c r="AZ26" s="404"/>
      <c r="BA26" s="404"/>
    </row>
    <row r="27" spans="2:13" ht="15">
      <c r="B27" s="401"/>
      <c r="C27" s="399"/>
      <c r="D27" s="401"/>
      <c r="E27" s="401"/>
      <c r="F27" s="401"/>
      <c r="G27" s="401"/>
      <c r="H27" s="186"/>
      <c r="I27" s="186"/>
      <c r="J27" s="186"/>
      <c r="K27" s="186"/>
      <c r="L27" s="186"/>
      <c r="M27" s="186"/>
    </row>
    <row r="28" spans="2:19" ht="15">
      <c r="B28" s="401"/>
      <c r="C28" s="399"/>
      <c r="D28" s="401"/>
      <c r="E28" s="401"/>
      <c r="F28" s="401"/>
      <c r="G28" s="401"/>
      <c r="H28" s="186"/>
      <c r="I28" s="186"/>
      <c r="J28" s="186"/>
      <c r="K28" s="186"/>
      <c r="L28" s="186"/>
      <c r="M28" s="186"/>
      <c r="S28" s="384"/>
    </row>
    <row r="29" spans="2:13" ht="15">
      <c r="B29" s="186"/>
      <c r="C29" s="402"/>
      <c r="D29" s="186"/>
      <c r="E29" s="186"/>
      <c r="F29" s="186"/>
      <c r="G29" s="186"/>
      <c r="H29" s="186"/>
      <c r="I29" s="186"/>
      <c r="J29" s="186"/>
      <c r="K29" s="186"/>
      <c r="L29" s="186"/>
      <c r="M29" s="186"/>
    </row>
  </sheetData>
  <sheetProtection/>
  <mergeCells count="68">
    <mergeCell ref="AH12:AH15"/>
    <mergeCell ref="AT12:AT15"/>
    <mergeCell ref="AX12:AX15"/>
    <mergeCell ref="AH16:AH18"/>
    <mergeCell ref="AT16:AT18"/>
    <mergeCell ref="AX16:AX18"/>
    <mergeCell ref="AP12:AP15"/>
    <mergeCell ref="AP16:AP18"/>
    <mergeCell ref="AL12:AL15"/>
    <mergeCell ref="AL16:AL18"/>
    <mergeCell ref="AE3:AH3"/>
    <mergeCell ref="AQ3:AT3"/>
    <mergeCell ref="AU3:AX3"/>
    <mergeCell ref="AH5:AH11"/>
    <mergeCell ref="AT5:AT11"/>
    <mergeCell ref="AX5:AX11"/>
    <mergeCell ref="AI3:AL3"/>
    <mergeCell ref="AL5:AL11"/>
    <mergeCell ref="AM3:AP3"/>
    <mergeCell ref="AP5:AP11"/>
    <mergeCell ref="A1:BJ1"/>
    <mergeCell ref="BC3:BF3"/>
    <mergeCell ref="BF5:BF11"/>
    <mergeCell ref="BF12:BF15"/>
    <mergeCell ref="BF16:BF18"/>
    <mergeCell ref="BG3:BJ3"/>
    <mergeCell ref="BJ5:BJ11"/>
    <mergeCell ref="BJ12:BJ15"/>
    <mergeCell ref="BJ16:BJ18"/>
    <mergeCell ref="AD16:AD18"/>
    <mergeCell ref="AY3:BB3"/>
    <mergeCell ref="BB5:BB11"/>
    <mergeCell ref="BB12:BB15"/>
    <mergeCell ref="BB16:BB18"/>
    <mergeCell ref="Z16:Z18"/>
    <mergeCell ref="A21:B21"/>
    <mergeCell ref="V16:V18"/>
    <mergeCell ref="Z5:Z11"/>
    <mergeCell ref="AD5:AD11"/>
    <mergeCell ref="Z12:Z15"/>
    <mergeCell ref="A23:B23"/>
    <mergeCell ref="A16:A18"/>
    <mergeCell ref="F16:F18"/>
    <mergeCell ref="J16:J18"/>
    <mergeCell ref="N16:N18"/>
    <mergeCell ref="R16:R18"/>
    <mergeCell ref="AD12:AD15"/>
    <mergeCell ref="A12:A15"/>
    <mergeCell ref="F12:F15"/>
    <mergeCell ref="J12:J15"/>
    <mergeCell ref="N12:N15"/>
    <mergeCell ref="R12:R15"/>
    <mergeCell ref="V12:V15"/>
    <mergeCell ref="A5:A11"/>
    <mergeCell ref="F5:F11"/>
    <mergeCell ref="J5:J11"/>
    <mergeCell ref="N5:N11"/>
    <mergeCell ref="R5:R11"/>
    <mergeCell ref="V5:V11"/>
    <mergeCell ref="S3:V3"/>
    <mergeCell ref="W3:Z3"/>
    <mergeCell ref="AA3:AD3"/>
    <mergeCell ref="A3:A4"/>
    <mergeCell ref="B3:B4"/>
    <mergeCell ref="C3:F3"/>
    <mergeCell ref="G3:J3"/>
    <mergeCell ref="K3:N3"/>
    <mergeCell ref="O3:R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6.125" style="212" bestFit="1" customWidth="1"/>
    <col min="2" max="2" width="31.75390625" style="212" bestFit="1" customWidth="1"/>
    <col min="3" max="3" width="14.25390625" style="212" customWidth="1"/>
    <col min="4" max="4" width="15.25390625" style="212" customWidth="1"/>
    <col min="5" max="5" width="14.125" style="212" customWidth="1"/>
    <col min="6" max="6" width="15.375" style="212" bestFit="1" customWidth="1"/>
    <col min="7" max="7" width="14.25390625" style="212" customWidth="1"/>
    <col min="8" max="8" width="15.375" style="212" bestFit="1" customWidth="1"/>
    <col min="9" max="9" width="14.25390625" style="212" customWidth="1"/>
    <col min="10" max="10" width="15.875" style="212" customWidth="1"/>
    <col min="11" max="14" width="13.375" style="212" bestFit="1" customWidth="1"/>
    <col min="15" max="16384" width="9.125" style="212" customWidth="1"/>
  </cols>
  <sheetData>
    <row r="1" spans="1:10" ht="16.5" thickBot="1">
      <c r="A1" s="1391" t="s">
        <v>331</v>
      </c>
      <c r="B1" s="1391"/>
      <c r="C1" s="1391"/>
      <c r="D1" s="1391"/>
      <c r="E1" s="1391"/>
      <c r="F1" s="1391"/>
      <c r="G1" s="1391"/>
      <c r="H1" s="1391"/>
      <c r="J1" s="542" t="s">
        <v>367</v>
      </c>
    </row>
    <row r="2" spans="1:14" ht="16.5" thickBot="1">
      <c r="A2" s="1392" t="s">
        <v>216</v>
      </c>
      <c r="B2" s="1394" t="s">
        <v>217</v>
      </c>
      <c r="C2" s="1396" t="s">
        <v>218</v>
      </c>
      <c r="D2" s="1397"/>
      <c r="E2" s="1396" t="s">
        <v>271</v>
      </c>
      <c r="F2" s="1397"/>
      <c r="G2" s="1396" t="s">
        <v>319</v>
      </c>
      <c r="H2" s="1397"/>
      <c r="I2" s="1398" t="s">
        <v>362</v>
      </c>
      <c r="J2" s="1399"/>
      <c r="K2" s="1398" t="s">
        <v>492</v>
      </c>
      <c r="L2" s="1399"/>
      <c r="M2" s="1398" t="s">
        <v>493</v>
      </c>
      <c r="N2" s="1399"/>
    </row>
    <row r="3" spans="1:14" ht="50.25" customHeight="1" thickBot="1">
      <c r="A3" s="1393"/>
      <c r="B3" s="1395"/>
      <c r="C3" s="323" t="s">
        <v>321</v>
      </c>
      <c r="D3" s="324" t="s">
        <v>320</v>
      </c>
      <c r="E3" s="334" t="s">
        <v>321</v>
      </c>
      <c r="F3" s="324" t="s">
        <v>320</v>
      </c>
      <c r="G3" s="334" t="s">
        <v>321</v>
      </c>
      <c r="H3" s="324" t="s">
        <v>320</v>
      </c>
      <c r="I3" s="334" t="s">
        <v>321</v>
      </c>
      <c r="J3" s="324" t="s">
        <v>320</v>
      </c>
      <c r="K3" s="334" t="s">
        <v>321</v>
      </c>
      <c r="L3" s="324" t="s">
        <v>320</v>
      </c>
      <c r="M3" s="334" t="s">
        <v>321</v>
      </c>
      <c r="N3" s="324" t="s">
        <v>320</v>
      </c>
    </row>
    <row r="4" spans="1:14" s="329" customFormat="1" ht="15.75">
      <c r="A4" s="925">
        <v>1</v>
      </c>
      <c r="B4" s="406" t="s">
        <v>293</v>
      </c>
      <c r="C4" s="336">
        <v>1</v>
      </c>
      <c r="D4" s="335">
        <v>0.4</v>
      </c>
      <c r="E4" s="336">
        <v>1</v>
      </c>
      <c r="F4" s="335">
        <v>0.5</v>
      </c>
      <c r="G4" s="336">
        <v>1</v>
      </c>
      <c r="H4" s="335">
        <v>0.6</v>
      </c>
      <c r="I4" s="336">
        <v>1</v>
      </c>
      <c r="J4" s="335">
        <v>0.7</v>
      </c>
      <c r="K4" s="336">
        <v>1</v>
      </c>
      <c r="L4" s="335">
        <v>0.7</v>
      </c>
      <c r="M4" s="336">
        <v>1</v>
      </c>
      <c r="N4" s="335">
        <v>0.7</v>
      </c>
    </row>
    <row r="5" spans="1:14" s="329" customFormat="1" ht="15.75">
      <c r="A5" s="925">
        <v>2</v>
      </c>
      <c r="B5" s="406" t="s">
        <v>341</v>
      </c>
      <c r="C5" s="336">
        <v>1</v>
      </c>
      <c r="D5" s="335">
        <v>1</v>
      </c>
      <c r="E5" s="336">
        <v>1</v>
      </c>
      <c r="F5" s="335">
        <v>1.5</v>
      </c>
      <c r="G5" s="336">
        <v>1</v>
      </c>
      <c r="H5" s="335">
        <v>2</v>
      </c>
      <c r="I5" s="336">
        <v>1</v>
      </c>
      <c r="J5" s="335">
        <v>2</v>
      </c>
      <c r="K5" s="336">
        <v>1</v>
      </c>
      <c r="L5" s="335">
        <v>2</v>
      </c>
      <c r="M5" s="336">
        <v>1</v>
      </c>
      <c r="N5" s="335">
        <v>2</v>
      </c>
    </row>
    <row r="6" spans="1:14" s="329" customFormat="1" ht="15.75">
      <c r="A6" s="925">
        <v>3</v>
      </c>
      <c r="B6" s="407" t="s">
        <v>295</v>
      </c>
      <c r="C6" s="328">
        <v>7</v>
      </c>
      <c r="D6" s="337">
        <v>20</v>
      </c>
      <c r="E6" s="328">
        <v>3</v>
      </c>
      <c r="F6" s="337">
        <v>12</v>
      </c>
      <c r="G6" s="328">
        <v>3</v>
      </c>
      <c r="H6" s="337">
        <v>12</v>
      </c>
      <c r="I6" s="328">
        <v>3</v>
      </c>
      <c r="J6" s="337">
        <v>12</v>
      </c>
      <c r="K6" s="328">
        <v>3</v>
      </c>
      <c r="L6" s="337">
        <v>12</v>
      </c>
      <c r="M6" s="328">
        <v>3</v>
      </c>
      <c r="N6" s="337">
        <v>12</v>
      </c>
    </row>
    <row r="7" spans="1:14" s="329" customFormat="1" ht="15.75">
      <c r="A7" s="925">
        <v>4</v>
      </c>
      <c r="B7" s="407" t="s">
        <v>326</v>
      </c>
      <c r="C7" s="328">
        <v>1</v>
      </c>
      <c r="D7" s="337">
        <v>3.5</v>
      </c>
      <c r="E7" s="328">
        <v>1</v>
      </c>
      <c r="F7" s="337">
        <v>5</v>
      </c>
      <c r="G7" s="328">
        <v>1</v>
      </c>
      <c r="H7" s="337">
        <v>5</v>
      </c>
      <c r="I7" s="328">
        <v>1</v>
      </c>
      <c r="J7" s="337">
        <v>5</v>
      </c>
      <c r="K7" s="328">
        <v>1</v>
      </c>
      <c r="L7" s="337">
        <v>5</v>
      </c>
      <c r="M7" s="328">
        <v>1</v>
      </c>
      <c r="N7" s="337">
        <v>5</v>
      </c>
    </row>
    <row r="8" spans="1:14" s="329" customFormat="1" ht="15.75">
      <c r="A8" s="925">
        <v>5</v>
      </c>
      <c r="B8" s="407" t="s">
        <v>301</v>
      </c>
      <c r="C8" s="328">
        <v>6</v>
      </c>
      <c r="D8" s="337">
        <v>15</v>
      </c>
      <c r="E8" s="328">
        <v>6</v>
      </c>
      <c r="F8" s="337">
        <v>18</v>
      </c>
      <c r="G8" s="328">
        <v>6</v>
      </c>
      <c r="H8" s="337">
        <v>18</v>
      </c>
      <c r="I8" s="328">
        <v>6</v>
      </c>
      <c r="J8" s="337">
        <v>18</v>
      </c>
      <c r="K8" s="328">
        <v>6</v>
      </c>
      <c r="L8" s="337">
        <v>18</v>
      </c>
      <c r="M8" s="328">
        <v>6</v>
      </c>
      <c r="N8" s="337">
        <v>18</v>
      </c>
    </row>
    <row r="9" spans="1:14" ht="15.75">
      <c r="A9" s="325">
        <v>6</v>
      </c>
      <c r="B9" s="407" t="s">
        <v>306</v>
      </c>
      <c r="C9" s="328">
        <v>1</v>
      </c>
      <c r="D9" s="337">
        <v>7</v>
      </c>
      <c r="E9" s="328">
        <v>1</v>
      </c>
      <c r="F9" s="337">
        <v>12.4</v>
      </c>
      <c r="G9" s="328">
        <v>1</v>
      </c>
      <c r="H9" s="337">
        <v>14.5</v>
      </c>
      <c r="I9" s="918">
        <v>1</v>
      </c>
      <c r="J9" s="919">
        <v>3.4</v>
      </c>
      <c r="K9" s="918">
        <v>1</v>
      </c>
      <c r="L9" s="919">
        <v>4</v>
      </c>
      <c r="M9" s="918">
        <v>1</v>
      </c>
      <c r="N9" s="919">
        <v>4</v>
      </c>
    </row>
    <row r="10" spans="1:14" ht="15.75">
      <c r="A10" s="325">
        <v>7</v>
      </c>
      <c r="B10" s="407" t="s">
        <v>219</v>
      </c>
      <c r="C10" s="328">
        <v>3</v>
      </c>
      <c r="D10" s="337">
        <v>8.8</v>
      </c>
      <c r="E10" s="328">
        <v>3</v>
      </c>
      <c r="F10" s="337">
        <v>9.6</v>
      </c>
      <c r="G10" s="328">
        <v>3</v>
      </c>
      <c r="H10" s="337">
        <v>10</v>
      </c>
      <c r="I10" s="918">
        <v>7</v>
      </c>
      <c r="J10" s="919">
        <v>33.7</v>
      </c>
      <c r="K10" s="918">
        <v>7</v>
      </c>
      <c r="L10" s="919">
        <v>35</v>
      </c>
      <c r="M10" s="918">
        <v>7</v>
      </c>
      <c r="N10" s="919">
        <v>35</v>
      </c>
    </row>
    <row r="11" spans="1:14" ht="15.75">
      <c r="A11" s="325">
        <v>8</v>
      </c>
      <c r="B11" s="407" t="s">
        <v>294</v>
      </c>
      <c r="C11" s="328">
        <v>8</v>
      </c>
      <c r="D11" s="337">
        <v>30.2</v>
      </c>
      <c r="E11" s="328">
        <v>7</v>
      </c>
      <c r="F11" s="337">
        <v>35</v>
      </c>
      <c r="G11" s="328">
        <v>7</v>
      </c>
      <c r="H11" s="337">
        <v>35</v>
      </c>
      <c r="I11" s="918">
        <v>6</v>
      </c>
      <c r="J11" s="919">
        <v>42</v>
      </c>
      <c r="K11" s="918">
        <v>5</v>
      </c>
      <c r="L11" s="919">
        <v>45</v>
      </c>
      <c r="M11" s="918">
        <v>6</v>
      </c>
      <c r="N11" s="919">
        <v>45</v>
      </c>
    </row>
    <row r="12" spans="1:14" ht="15.75">
      <c r="A12" s="325">
        <v>9</v>
      </c>
      <c r="B12" s="407" t="s">
        <v>329</v>
      </c>
      <c r="C12" s="328">
        <v>3</v>
      </c>
      <c r="D12" s="337">
        <v>5.4</v>
      </c>
      <c r="E12" s="328">
        <v>3</v>
      </c>
      <c r="F12" s="337">
        <v>5.6</v>
      </c>
      <c r="G12" s="328">
        <v>3</v>
      </c>
      <c r="H12" s="337">
        <v>5.8</v>
      </c>
      <c r="I12" s="918">
        <v>2</v>
      </c>
      <c r="J12" s="919">
        <v>0.9</v>
      </c>
      <c r="K12" s="918">
        <v>2</v>
      </c>
      <c r="L12" s="919">
        <v>0.9</v>
      </c>
      <c r="M12" s="918">
        <v>3</v>
      </c>
      <c r="N12" s="919">
        <v>0.9</v>
      </c>
    </row>
    <row r="13" spans="1:14" ht="15.75">
      <c r="A13" s="325">
        <v>10</v>
      </c>
      <c r="B13" s="407" t="s">
        <v>296</v>
      </c>
      <c r="C13" s="328">
        <v>5</v>
      </c>
      <c r="D13" s="337">
        <v>12</v>
      </c>
      <c r="E13" s="328">
        <v>3</v>
      </c>
      <c r="F13" s="337">
        <v>6</v>
      </c>
      <c r="G13" s="328">
        <v>2</v>
      </c>
      <c r="H13" s="337">
        <v>5</v>
      </c>
      <c r="I13" s="918">
        <v>1</v>
      </c>
      <c r="J13" s="919">
        <v>1.4</v>
      </c>
      <c r="K13" s="918">
        <v>1</v>
      </c>
      <c r="L13" s="919">
        <v>2.2</v>
      </c>
      <c r="M13" s="918">
        <v>1</v>
      </c>
      <c r="N13" s="919">
        <v>3</v>
      </c>
    </row>
    <row r="14" spans="1:14" ht="15.75">
      <c r="A14" s="325">
        <v>11</v>
      </c>
      <c r="B14" s="343" t="s">
        <v>297</v>
      </c>
      <c r="C14" s="327">
        <v>4</v>
      </c>
      <c r="D14" s="337">
        <v>5</v>
      </c>
      <c r="E14" s="328">
        <v>4</v>
      </c>
      <c r="F14" s="337">
        <v>6</v>
      </c>
      <c r="G14" s="328">
        <v>4</v>
      </c>
      <c r="H14" s="337">
        <v>6</v>
      </c>
      <c r="I14" s="918">
        <v>3</v>
      </c>
      <c r="J14" s="919">
        <v>1.7</v>
      </c>
      <c r="K14" s="918">
        <v>5</v>
      </c>
      <c r="L14" s="919">
        <v>4.2</v>
      </c>
      <c r="M14" s="918">
        <v>5</v>
      </c>
      <c r="N14" s="919">
        <v>4.8</v>
      </c>
    </row>
    <row r="15" spans="1:14" ht="15.75">
      <c r="A15" s="325">
        <v>11</v>
      </c>
      <c r="B15" s="343" t="s">
        <v>494</v>
      </c>
      <c r="C15" s="327">
        <v>4</v>
      </c>
      <c r="D15" s="337">
        <v>5</v>
      </c>
      <c r="E15" s="328">
        <v>4</v>
      </c>
      <c r="F15" s="337">
        <v>6</v>
      </c>
      <c r="G15" s="328">
        <v>4</v>
      </c>
      <c r="H15" s="337">
        <v>6</v>
      </c>
      <c r="I15" s="918">
        <v>3</v>
      </c>
      <c r="J15" s="919">
        <v>2</v>
      </c>
      <c r="K15" s="918">
        <v>5</v>
      </c>
      <c r="L15" s="919">
        <v>4.5</v>
      </c>
      <c r="M15" s="918">
        <v>5</v>
      </c>
      <c r="N15" s="919">
        <v>5</v>
      </c>
    </row>
    <row r="16" spans="1:14" ht="15.75">
      <c r="A16" s="325">
        <v>12</v>
      </c>
      <c r="B16" s="343" t="s">
        <v>298</v>
      </c>
      <c r="C16" s="327">
        <v>2</v>
      </c>
      <c r="D16" s="337">
        <v>3</v>
      </c>
      <c r="E16" s="328">
        <v>2</v>
      </c>
      <c r="F16" s="337">
        <v>3.5</v>
      </c>
      <c r="G16" s="328">
        <v>2</v>
      </c>
      <c r="H16" s="337">
        <v>4</v>
      </c>
      <c r="I16" s="328">
        <v>2</v>
      </c>
      <c r="J16" s="337">
        <v>4</v>
      </c>
      <c r="K16" s="328">
        <v>2</v>
      </c>
      <c r="L16" s="337">
        <v>4</v>
      </c>
      <c r="M16" s="328">
        <v>2</v>
      </c>
      <c r="N16" s="337">
        <v>4</v>
      </c>
    </row>
    <row r="17" spans="1:14" s="329" customFormat="1" ht="15.75">
      <c r="A17" s="925">
        <v>13</v>
      </c>
      <c r="B17" s="364" t="s">
        <v>299</v>
      </c>
      <c r="C17" s="328">
        <v>2</v>
      </c>
      <c r="D17" s="337">
        <v>16</v>
      </c>
      <c r="E17" s="328">
        <v>2</v>
      </c>
      <c r="F17" s="337">
        <v>2.8</v>
      </c>
      <c r="G17" s="328">
        <v>2</v>
      </c>
      <c r="H17" s="337">
        <v>2.8</v>
      </c>
      <c r="I17" s="328">
        <v>2</v>
      </c>
      <c r="J17" s="337">
        <v>2.9</v>
      </c>
      <c r="K17" s="328">
        <v>2</v>
      </c>
      <c r="L17" s="337">
        <v>2.9</v>
      </c>
      <c r="M17" s="328">
        <v>2</v>
      </c>
      <c r="N17" s="337">
        <v>2.9</v>
      </c>
    </row>
    <row r="18" spans="1:14" s="329" customFormat="1" ht="15.75">
      <c r="A18" s="925">
        <v>14</v>
      </c>
      <c r="B18" s="364" t="s">
        <v>300</v>
      </c>
      <c r="C18" s="328">
        <v>7</v>
      </c>
      <c r="D18" s="337">
        <v>22</v>
      </c>
      <c r="E18" s="328">
        <v>7</v>
      </c>
      <c r="F18" s="337">
        <v>25</v>
      </c>
      <c r="G18" s="328">
        <v>7</v>
      </c>
      <c r="H18" s="337">
        <v>27</v>
      </c>
      <c r="I18" s="328">
        <v>7</v>
      </c>
      <c r="J18" s="337">
        <v>27</v>
      </c>
      <c r="K18" s="328">
        <v>7</v>
      </c>
      <c r="L18" s="337">
        <v>27</v>
      </c>
      <c r="M18" s="328">
        <v>7</v>
      </c>
      <c r="N18" s="337">
        <v>27</v>
      </c>
    </row>
    <row r="19" spans="1:14" ht="15.75">
      <c r="A19" s="325">
        <v>15</v>
      </c>
      <c r="B19" s="364" t="s">
        <v>302</v>
      </c>
      <c r="C19" s="328">
        <v>13</v>
      </c>
      <c r="D19" s="337">
        <v>38</v>
      </c>
      <c r="E19" s="328">
        <v>13</v>
      </c>
      <c r="F19" s="337">
        <v>54.7</v>
      </c>
      <c r="G19" s="328">
        <v>15</v>
      </c>
      <c r="H19" s="337">
        <v>62</v>
      </c>
      <c r="I19" s="918">
        <v>12</v>
      </c>
      <c r="J19" s="919">
        <v>42.3</v>
      </c>
      <c r="K19" s="918">
        <v>12</v>
      </c>
      <c r="L19" s="919">
        <v>51.9</v>
      </c>
      <c r="M19" s="918">
        <v>13</v>
      </c>
      <c r="N19" s="919">
        <v>55</v>
      </c>
    </row>
    <row r="20" spans="1:14" s="329" customFormat="1" ht="15.75">
      <c r="A20" s="925">
        <v>16</v>
      </c>
      <c r="B20" s="364" t="s">
        <v>303</v>
      </c>
      <c r="C20" s="328">
        <v>3</v>
      </c>
      <c r="D20" s="337">
        <v>5</v>
      </c>
      <c r="E20" s="328">
        <v>3</v>
      </c>
      <c r="F20" s="337">
        <v>6</v>
      </c>
      <c r="G20" s="328">
        <v>3</v>
      </c>
      <c r="H20" s="337">
        <v>7</v>
      </c>
      <c r="I20" s="328">
        <v>3</v>
      </c>
      <c r="J20" s="337">
        <v>7</v>
      </c>
      <c r="K20" s="328">
        <v>3</v>
      </c>
      <c r="L20" s="337">
        <v>7</v>
      </c>
      <c r="M20" s="328">
        <v>3</v>
      </c>
      <c r="N20" s="337">
        <v>7</v>
      </c>
    </row>
    <row r="21" spans="1:14" s="329" customFormat="1" ht="15.75">
      <c r="A21" s="925">
        <v>17</v>
      </c>
      <c r="B21" s="364" t="s">
        <v>304</v>
      </c>
      <c r="C21" s="328">
        <v>4</v>
      </c>
      <c r="D21" s="337">
        <v>7</v>
      </c>
      <c r="E21" s="328">
        <v>4</v>
      </c>
      <c r="F21" s="337">
        <v>8</v>
      </c>
      <c r="G21" s="328">
        <v>4</v>
      </c>
      <c r="H21" s="337">
        <v>9</v>
      </c>
      <c r="I21" s="328">
        <v>4</v>
      </c>
      <c r="J21" s="337">
        <v>9</v>
      </c>
      <c r="K21" s="328">
        <v>4</v>
      </c>
      <c r="L21" s="337">
        <v>9</v>
      </c>
      <c r="M21" s="328">
        <v>4</v>
      </c>
      <c r="N21" s="337">
        <v>9</v>
      </c>
    </row>
    <row r="22" spans="1:14" s="329" customFormat="1" ht="15.75">
      <c r="A22" s="925">
        <v>18</v>
      </c>
      <c r="B22" s="364" t="s">
        <v>305</v>
      </c>
      <c r="C22" s="328">
        <v>2</v>
      </c>
      <c r="D22" s="337">
        <v>2</v>
      </c>
      <c r="E22" s="328">
        <v>2</v>
      </c>
      <c r="F22" s="337">
        <v>2.5</v>
      </c>
      <c r="G22" s="328">
        <v>2</v>
      </c>
      <c r="H22" s="337">
        <v>3</v>
      </c>
      <c r="I22" s="328">
        <v>2</v>
      </c>
      <c r="J22" s="337">
        <v>3</v>
      </c>
      <c r="K22" s="328">
        <v>2</v>
      </c>
      <c r="L22" s="337">
        <v>3</v>
      </c>
      <c r="M22" s="328">
        <v>2</v>
      </c>
      <c r="N22" s="337">
        <v>3</v>
      </c>
    </row>
    <row r="23" spans="1:14" s="329" customFormat="1" ht="15.75">
      <c r="A23" s="925">
        <v>19</v>
      </c>
      <c r="B23" s="920" t="s">
        <v>340</v>
      </c>
      <c r="C23" s="328">
        <v>1</v>
      </c>
      <c r="D23" s="337">
        <v>1.5</v>
      </c>
      <c r="E23" s="328">
        <v>1</v>
      </c>
      <c r="F23" s="337">
        <v>2</v>
      </c>
      <c r="G23" s="328">
        <v>1</v>
      </c>
      <c r="H23" s="337">
        <v>3</v>
      </c>
      <c r="I23" s="328">
        <v>1</v>
      </c>
      <c r="J23" s="337">
        <v>3</v>
      </c>
      <c r="K23" s="328">
        <v>1</v>
      </c>
      <c r="L23" s="337">
        <v>3</v>
      </c>
      <c r="M23" s="328">
        <v>1</v>
      </c>
      <c r="N23" s="337">
        <v>3</v>
      </c>
    </row>
    <row r="24" spans="1:14" s="329" customFormat="1" ht="15.75">
      <c r="A24" s="925"/>
      <c r="B24" s="920" t="s">
        <v>496</v>
      </c>
      <c r="C24" s="328"/>
      <c r="D24" s="337"/>
      <c r="E24" s="328"/>
      <c r="F24" s="337"/>
      <c r="G24" s="328"/>
      <c r="H24" s="337"/>
      <c r="I24" s="918">
        <v>3</v>
      </c>
      <c r="J24" s="919">
        <v>1.4</v>
      </c>
      <c r="K24" s="918">
        <v>3</v>
      </c>
      <c r="L24" s="919">
        <v>2</v>
      </c>
      <c r="M24" s="918">
        <v>5</v>
      </c>
      <c r="N24" s="919">
        <v>2.2</v>
      </c>
    </row>
    <row r="25" spans="1:14" s="329" customFormat="1" ht="15.75">
      <c r="A25" s="925">
        <v>20</v>
      </c>
      <c r="B25" s="407" t="s">
        <v>325</v>
      </c>
      <c r="C25" s="328">
        <v>39</v>
      </c>
      <c r="D25" s="337">
        <v>52</v>
      </c>
      <c r="E25" s="328">
        <v>28</v>
      </c>
      <c r="F25" s="337">
        <v>64</v>
      </c>
      <c r="G25" s="328">
        <v>25</v>
      </c>
      <c r="H25" s="337">
        <v>61.1</v>
      </c>
      <c r="I25" s="328">
        <v>25</v>
      </c>
      <c r="J25" s="337">
        <v>61.1</v>
      </c>
      <c r="K25" s="328">
        <v>0</v>
      </c>
      <c r="L25" s="337">
        <v>0</v>
      </c>
      <c r="M25" s="328">
        <v>0</v>
      </c>
      <c r="N25" s="337">
        <v>0</v>
      </c>
    </row>
    <row r="26" spans="1:14" s="329" customFormat="1" ht="15.75">
      <c r="A26" s="925">
        <v>21</v>
      </c>
      <c r="B26" s="407" t="s">
        <v>309</v>
      </c>
      <c r="C26" s="328">
        <v>15</v>
      </c>
      <c r="D26" s="337">
        <v>100</v>
      </c>
      <c r="E26" s="328">
        <v>12</v>
      </c>
      <c r="F26" s="337">
        <v>150</v>
      </c>
      <c r="G26" s="328">
        <v>12</v>
      </c>
      <c r="H26" s="337">
        <v>160</v>
      </c>
      <c r="I26" s="918">
        <v>3</v>
      </c>
      <c r="J26" s="919">
        <v>34.6</v>
      </c>
      <c r="K26" s="918">
        <v>2</v>
      </c>
      <c r="L26" s="919">
        <v>6.5</v>
      </c>
      <c r="M26" s="918">
        <v>3</v>
      </c>
      <c r="N26" s="919">
        <v>8.8</v>
      </c>
    </row>
    <row r="27" spans="1:14" s="329" customFormat="1" ht="15.75">
      <c r="A27" s="925">
        <v>22</v>
      </c>
      <c r="B27" s="407" t="s">
        <v>310</v>
      </c>
      <c r="C27" s="328">
        <v>11</v>
      </c>
      <c r="D27" s="337">
        <v>39.2</v>
      </c>
      <c r="E27" s="328">
        <v>12</v>
      </c>
      <c r="F27" s="337">
        <v>41</v>
      </c>
      <c r="G27" s="328">
        <v>12</v>
      </c>
      <c r="H27" s="337">
        <v>42</v>
      </c>
      <c r="I27" s="328">
        <v>12</v>
      </c>
      <c r="J27" s="337">
        <v>42</v>
      </c>
      <c r="K27" s="328">
        <v>12</v>
      </c>
      <c r="L27" s="337">
        <v>42</v>
      </c>
      <c r="M27" s="328">
        <v>12</v>
      </c>
      <c r="N27" s="337">
        <v>42</v>
      </c>
    </row>
    <row r="28" spans="1:14" s="329" customFormat="1" ht="15.75">
      <c r="A28" s="925">
        <v>23</v>
      </c>
      <c r="B28" s="407" t="s">
        <v>308</v>
      </c>
      <c r="C28" s="328">
        <v>5</v>
      </c>
      <c r="D28" s="337">
        <v>12</v>
      </c>
      <c r="E28" s="328">
        <v>4</v>
      </c>
      <c r="F28" s="337">
        <v>14</v>
      </c>
      <c r="G28" s="328">
        <v>4</v>
      </c>
      <c r="H28" s="337">
        <v>15</v>
      </c>
      <c r="I28" s="328">
        <v>4</v>
      </c>
      <c r="J28" s="337">
        <v>15</v>
      </c>
      <c r="K28" s="328">
        <v>4</v>
      </c>
      <c r="L28" s="337">
        <v>15</v>
      </c>
      <c r="M28" s="328">
        <v>4</v>
      </c>
      <c r="N28" s="337">
        <v>15</v>
      </c>
    </row>
    <row r="29" spans="1:14" ht="15.75">
      <c r="A29" s="325">
        <v>24</v>
      </c>
      <c r="B29" s="326" t="s">
        <v>311</v>
      </c>
      <c r="C29" s="327">
        <v>2</v>
      </c>
      <c r="D29" s="337">
        <v>2.8</v>
      </c>
      <c r="E29" s="328">
        <v>2</v>
      </c>
      <c r="F29" s="337">
        <v>2</v>
      </c>
      <c r="G29" s="328">
        <v>2</v>
      </c>
      <c r="H29" s="337">
        <v>2.5</v>
      </c>
      <c r="I29" s="918">
        <v>2</v>
      </c>
      <c r="J29" s="919">
        <v>15</v>
      </c>
      <c r="K29" s="918">
        <v>2</v>
      </c>
      <c r="L29" s="919">
        <v>16</v>
      </c>
      <c r="M29" s="918">
        <v>2</v>
      </c>
      <c r="N29" s="919">
        <v>16</v>
      </c>
    </row>
    <row r="30" spans="1:14" s="329" customFormat="1" ht="15.75">
      <c r="A30" s="925">
        <v>25</v>
      </c>
      <c r="B30" s="407" t="s">
        <v>307</v>
      </c>
      <c r="C30" s="328">
        <v>48</v>
      </c>
      <c r="D30" s="337">
        <v>173.1</v>
      </c>
      <c r="E30" s="328">
        <v>52</v>
      </c>
      <c r="F30" s="337">
        <v>180</v>
      </c>
      <c r="G30" s="328">
        <v>54</v>
      </c>
      <c r="H30" s="337">
        <v>186</v>
      </c>
      <c r="I30" s="918">
        <v>62</v>
      </c>
      <c r="J30" s="919">
        <v>203.8</v>
      </c>
      <c r="K30" s="918">
        <v>64</v>
      </c>
      <c r="L30" s="919">
        <v>226.4</v>
      </c>
      <c r="M30" s="918">
        <v>66</v>
      </c>
      <c r="N30" s="919">
        <v>240</v>
      </c>
    </row>
    <row r="31" spans="1:14" s="329" customFormat="1" ht="15.75">
      <c r="A31" s="925">
        <v>26</v>
      </c>
      <c r="B31" s="407" t="s">
        <v>313</v>
      </c>
      <c r="C31" s="328">
        <v>7</v>
      </c>
      <c r="D31" s="337">
        <v>9</v>
      </c>
      <c r="E31" s="328">
        <v>7</v>
      </c>
      <c r="F31" s="337">
        <v>10</v>
      </c>
      <c r="G31" s="328">
        <v>7</v>
      </c>
      <c r="H31" s="337">
        <v>11</v>
      </c>
      <c r="I31" s="328">
        <v>7</v>
      </c>
      <c r="J31" s="337">
        <v>11</v>
      </c>
      <c r="K31" s="328">
        <v>7</v>
      </c>
      <c r="L31" s="337">
        <v>11</v>
      </c>
      <c r="M31" s="328">
        <v>7</v>
      </c>
      <c r="N31" s="337">
        <v>11</v>
      </c>
    </row>
    <row r="32" spans="1:14" ht="15.75">
      <c r="A32" s="325">
        <v>27</v>
      </c>
      <c r="B32" s="407" t="s">
        <v>312</v>
      </c>
      <c r="C32" s="328">
        <v>2</v>
      </c>
      <c r="D32" s="337">
        <v>4</v>
      </c>
      <c r="E32" s="328">
        <v>3</v>
      </c>
      <c r="F32" s="337">
        <v>4.6</v>
      </c>
      <c r="G32" s="328">
        <v>3</v>
      </c>
      <c r="H32" s="337">
        <v>5</v>
      </c>
      <c r="I32" s="918">
        <v>2</v>
      </c>
      <c r="J32" s="919">
        <v>21</v>
      </c>
      <c r="K32" s="918">
        <v>2</v>
      </c>
      <c r="L32" s="919">
        <v>22</v>
      </c>
      <c r="M32" s="918">
        <v>2</v>
      </c>
      <c r="N32" s="919">
        <v>23</v>
      </c>
    </row>
    <row r="33" spans="1:14" s="329" customFormat="1" ht="15.75">
      <c r="A33" s="925">
        <v>28</v>
      </c>
      <c r="B33" s="407" t="s">
        <v>315</v>
      </c>
      <c r="C33" s="328">
        <v>4</v>
      </c>
      <c r="D33" s="337">
        <v>4</v>
      </c>
      <c r="E33" s="328">
        <v>4</v>
      </c>
      <c r="F33" s="337">
        <v>4</v>
      </c>
      <c r="G33" s="328">
        <v>4</v>
      </c>
      <c r="H33" s="337">
        <v>1</v>
      </c>
      <c r="I33" s="328">
        <v>4</v>
      </c>
      <c r="J33" s="337">
        <v>1</v>
      </c>
      <c r="K33" s="328">
        <v>4</v>
      </c>
      <c r="L33" s="337">
        <v>1</v>
      </c>
      <c r="M33" s="328">
        <v>4</v>
      </c>
      <c r="N33" s="337">
        <v>1</v>
      </c>
    </row>
    <row r="34" spans="1:14" s="329" customFormat="1" ht="15.75">
      <c r="A34" s="925">
        <v>29</v>
      </c>
      <c r="B34" s="407" t="s">
        <v>220</v>
      </c>
      <c r="C34" s="328">
        <v>3</v>
      </c>
      <c r="D34" s="337">
        <v>1.4</v>
      </c>
      <c r="E34" s="328">
        <v>3</v>
      </c>
      <c r="F34" s="337">
        <v>1.5</v>
      </c>
      <c r="G34" s="328">
        <v>4</v>
      </c>
      <c r="H34" s="337">
        <v>1.8</v>
      </c>
      <c r="I34" s="328">
        <v>6</v>
      </c>
      <c r="J34" s="337">
        <v>1.8</v>
      </c>
      <c r="K34" s="328">
        <v>6</v>
      </c>
      <c r="L34" s="337">
        <v>1.8</v>
      </c>
      <c r="M34" s="328">
        <v>6</v>
      </c>
      <c r="N34" s="337">
        <v>1.8</v>
      </c>
    </row>
    <row r="35" spans="1:14" s="329" customFormat="1" ht="15.75">
      <c r="A35" s="925">
        <v>30</v>
      </c>
      <c r="B35" s="407" t="s">
        <v>334</v>
      </c>
      <c r="C35" s="328">
        <v>8</v>
      </c>
      <c r="D35" s="337">
        <v>7.48</v>
      </c>
      <c r="E35" s="328">
        <v>8</v>
      </c>
      <c r="F35" s="337">
        <v>6.51</v>
      </c>
      <c r="G35" s="328">
        <v>8</v>
      </c>
      <c r="H35" s="337">
        <v>7</v>
      </c>
      <c r="I35" s="328">
        <v>8</v>
      </c>
      <c r="J35" s="337">
        <v>7</v>
      </c>
      <c r="K35" s="328">
        <v>8</v>
      </c>
      <c r="L35" s="337">
        <v>7</v>
      </c>
      <c r="M35" s="328">
        <v>8</v>
      </c>
      <c r="N35" s="337">
        <v>7</v>
      </c>
    </row>
    <row r="36" spans="1:14" s="329" customFormat="1" ht="15.75">
      <c r="A36" s="925">
        <v>31</v>
      </c>
      <c r="B36" s="407" t="s">
        <v>314</v>
      </c>
      <c r="C36" s="328">
        <v>3</v>
      </c>
      <c r="D36" s="337">
        <v>22.04</v>
      </c>
      <c r="E36" s="328">
        <v>19</v>
      </c>
      <c r="F36" s="337">
        <v>20.65</v>
      </c>
      <c r="G36" s="328">
        <v>19</v>
      </c>
      <c r="H36" s="337">
        <v>22</v>
      </c>
      <c r="I36" s="328">
        <v>19</v>
      </c>
      <c r="J36" s="337">
        <v>22</v>
      </c>
      <c r="K36" s="328">
        <v>19</v>
      </c>
      <c r="L36" s="337">
        <v>22</v>
      </c>
      <c r="M36" s="328">
        <v>19</v>
      </c>
      <c r="N36" s="337">
        <v>22</v>
      </c>
    </row>
    <row r="37" spans="1:14" s="329" customFormat="1" ht="15.75">
      <c r="A37" s="925">
        <v>32</v>
      </c>
      <c r="B37" s="407"/>
      <c r="C37" s="328"/>
      <c r="D37" s="337"/>
      <c r="E37" s="328"/>
      <c r="F37" s="337"/>
      <c r="G37" s="328"/>
      <c r="H37" s="337"/>
      <c r="I37" s="328"/>
      <c r="J37" s="337"/>
      <c r="K37" s="328"/>
      <c r="L37" s="337"/>
      <c r="M37" s="328"/>
      <c r="N37" s="337"/>
    </row>
    <row r="38" spans="1:14" ht="16.5" thickBot="1">
      <c r="A38" s="325">
        <v>33</v>
      </c>
      <c r="B38" s="330"/>
      <c r="C38" s="331"/>
      <c r="D38" s="339"/>
      <c r="E38" s="340"/>
      <c r="F38" s="339"/>
      <c r="G38" s="340"/>
      <c r="H38" s="339"/>
      <c r="I38" s="340"/>
      <c r="J38" s="339"/>
      <c r="K38" s="340"/>
      <c r="L38" s="339"/>
      <c r="M38" s="340"/>
      <c r="N38" s="339"/>
    </row>
    <row r="39" spans="1:14" ht="16.5" thickBot="1">
      <c r="A39" s="1400" t="s">
        <v>222</v>
      </c>
      <c r="B39" s="1401"/>
      <c r="C39" s="332">
        <f>SUM(C4:C38)</f>
        <v>225</v>
      </c>
      <c r="D39" s="333">
        <f>SUM(D4:D36)</f>
        <v>634.8199999999999</v>
      </c>
      <c r="E39" s="341">
        <f>SUM(E4:E38)</f>
        <v>225</v>
      </c>
      <c r="F39" s="333">
        <f>SUM(F4:F36)</f>
        <v>720.3599999999999</v>
      </c>
      <c r="G39" s="341">
        <f>SUM(G4:G38)</f>
        <v>226</v>
      </c>
      <c r="H39" s="333">
        <f>SUM(H4:H36)</f>
        <v>752.0999999999999</v>
      </c>
      <c r="I39" s="341">
        <f>SUM(I4:I38)</f>
        <v>225</v>
      </c>
      <c r="J39" s="333">
        <f>SUM(J4:J36)</f>
        <v>657.7</v>
      </c>
      <c r="K39" s="341">
        <f>SUM(K4:K38)</f>
        <v>204</v>
      </c>
      <c r="L39" s="333">
        <f>SUM(L4:L36)</f>
        <v>614</v>
      </c>
      <c r="M39" s="341">
        <f>SUM(M4:M38)</f>
        <v>212</v>
      </c>
      <c r="N39" s="333">
        <f>SUM(N4:N36)</f>
        <v>636.0999999999999</v>
      </c>
    </row>
    <row r="43" spans="2:3" ht="15.75">
      <c r="B43" s="220"/>
      <c r="C43" s="221"/>
    </row>
    <row r="44" spans="2:3" ht="15.75">
      <c r="B44" s="220"/>
      <c r="C44" s="221"/>
    </row>
    <row r="45" spans="2:3" ht="15.75">
      <c r="B45" s="220"/>
      <c r="C45" s="221"/>
    </row>
    <row r="46" spans="2:3" ht="15.75">
      <c r="B46" s="220"/>
      <c r="C46" s="221"/>
    </row>
    <row r="47" spans="2:3" ht="15.75">
      <c r="B47" s="220"/>
      <c r="C47" s="221"/>
    </row>
    <row r="48" spans="2:3" ht="15.75">
      <c r="B48" s="220"/>
      <c r="C48" s="221"/>
    </row>
    <row r="49" spans="2:3" ht="15.75">
      <c r="B49" s="220"/>
      <c r="C49" s="221"/>
    </row>
    <row r="50" spans="2:3" ht="15.75">
      <c r="B50" s="220"/>
      <c r="C50" s="221"/>
    </row>
    <row r="51" spans="2:3" ht="15.75">
      <c r="B51" s="220"/>
      <c r="C51" s="221"/>
    </row>
    <row r="52" spans="2:3" ht="15.75">
      <c r="B52" s="220"/>
      <c r="C52" s="221"/>
    </row>
    <row r="53" spans="2:3" ht="15.75">
      <c r="B53" s="220"/>
      <c r="C53" s="221"/>
    </row>
    <row r="54" spans="2:3" ht="15.75">
      <c r="B54" s="220"/>
      <c r="C54" s="221"/>
    </row>
    <row r="55" spans="2:3" ht="15.75">
      <c r="B55" s="220"/>
      <c r="C55" s="221"/>
    </row>
    <row r="56" spans="2:3" ht="15.75">
      <c r="B56" s="220"/>
      <c r="C56" s="221"/>
    </row>
    <row r="57" spans="2:3" ht="15.75">
      <c r="B57" s="220"/>
      <c r="C57" s="221"/>
    </row>
    <row r="58" spans="2:3" ht="15.75">
      <c r="B58" s="220"/>
      <c r="C58" s="221"/>
    </row>
    <row r="59" spans="2:3" ht="15.75">
      <c r="B59" s="220"/>
      <c r="C59" s="221"/>
    </row>
    <row r="60" spans="2:3" ht="15.75">
      <c r="B60" s="220"/>
      <c r="C60" s="221"/>
    </row>
    <row r="61" spans="2:3" ht="15.75">
      <c r="B61" s="220"/>
      <c r="C61" s="221"/>
    </row>
    <row r="62" spans="2:3" ht="15.75">
      <c r="B62" s="220"/>
      <c r="C62" s="221"/>
    </row>
    <row r="63" spans="2:3" ht="15.75">
      <c r="B63" s="220"/>
      <c r="C63" s="221"/>
    </row>
    <row r="64" spans="2:3" ht="15.75">
      <c r="B64" s="220"/>
      <c r="C64" s="221"/>
    </row>
    <row r="65" spans="2:3" ht="15.75">
      <c r="B65" s="220"/>
      <c r="C65" s="221"/>
    </row>
    <row r="66" spans="2:3" ht="15.75">
      <c r="B66" s="220"/>
      <c r="C66" s="221"/>
    </row>
    <row r="67" spans="2:3" ht="15.75">
      <c r="B67" s="220"/>
      <c r="C67" s="221"/>
    </row>
    <row r="68" spans="2:3" ht="15.75">
      <c r="B68" s="220"/>
      <c r="C68" s="221"/>
    </row>
    <row r="69" spans="2:3" ht="15.75">
      <c r="B69" s="220"/>
      <c r="C69" s="221"/>
    </row>
    <row r="70" spans="2:3" ht="15.75">
      <c r="B70" s="220"/>
      <c r="C70" s="221"/>
    </row>
    <row r="71" spans="2:3" ht="15.75">
      <c r="B71" s="220"/>
      <c r="C71" s="221"/>
    </row>
    <row r="72" spans="2:3" ht="15.75">
      <c r="B72" s="220"/>
      <c r="C72" s="221"/>
    </row>
    <row r="73" spans="2:3" ht="15.75">
      <c r="B73" s="220"/>
      <c r="C73" s="221"/>
    </row>
    <row r="74" spans="2:3" ht="15.75">
      <c r="B74" s="220"/>
      <c r="C74" s="221"/>
    </row>
    <row r="75" spans="2:3" ht="15.75">
      <c r="B75" s="220"/>
      <c r="C75" s="221"/>
    </row>
    <row r="76" spans="2:3" ht="15.75">
      <c r="B76" s="220"/>
      <c r="C76" s="221"/>
    </row>
    <row r="77" spans="2:3" ht="15.75">
      <c r="B77" s="220"/>
      <c r="C77" s="221"/>
    </row>
    <row r="78" spans="2:3" ht="15.75">
      <c r="B78" s="220"/>
      <c r="C78" s="221"/>
    </row>
    <row r="79" spans="2:3" ht="15.75">
      <c r="B79" s="220"/>
      <c r="C79" s="221"/>
    </row>
    <row r="80" spans="2:3" ht="15.75">
      <c r="B80" s="220"/>
      <c r="C80" s="221"/>
    </row>
    <row r="81" spans="2:3" ht="15.75">
      <c r="B81" s="220"/>
      <c r="C81" s="221"/>
    </row>
    <row r="82" spans="2:3" ht="15.75">
      <c r="B82" s="222"/>
      <c r="C82" s="221"/>
    </row>
    <row r="83" spans="2:3" ht="15.75">
      <c r="B83" s="221"/>
      <c r="C83" s="221"/>
    </row>
  </sheetData>
  <sheetProtection/>
  <mergeCells count="10">
    <mergeCell ref="A39:B39"/>
    <mergeCell ref="E2:F2"/>
    <mergeCell ref="G2:H2"/>
    <mergeCell ref="A1:H1"/>
    <mergeCell ref="A2:A3"/>
    <mergeCell ref="B2:B3"/>
    <mergeCell ref="C2:D2"/>
    <mergeCell ref="K2:L2"/>
    <mergeCell ref="M2:N2"/>
    <mergeCell ref="I2:J2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6.125" style="212" bestFit="1" customWidth="1"/>
    <col min="2" max="2" width="27.875" style="212" customWidth="1"/>
    <col min="3" max="3" width="14.25390625" style="212" customWidth="1"/>
    <col min="4" max="4" width="15.25390625" style="212" customWidth="1"/>
    <col min="5" max="5" width="14.125" style="212" customWidth="1"/>
    <col min="6" max="6" width="15.375" style="212" bestFit="1" customWidth="1"/>
    <col min="7" max="7" width="14.25390625" style="212" customWidth="1"/>
    <col min="8" max="8" width="15.375" style="212" bestFit="1" customWidth="1"/>
    <col min="9" max="9" width="14.00390625" style="212" customWidth="1"/>
    <col min="10" max="10" width="15.25390625" style="212" customWidth="1"/>
    <col min="11" max="11" width="14.625" style="212" customWidth="1"/>
    <col min="12" max="12" width="16.375" style="212" customWidth="1"/>
    <col min="13" max="13" width="13.625" style="212" customWidth="1"/>
    <col min="14" max="14" width="16.625" style="212" customWidth="1"/>
    <col min="15" max="16384" width="9.125" style="212" customWidth="1"/>
  </cols>
  <sheetData>
    <row r="1" spans="1:8" ht="16.5" thickBot="1">
      <c r="A1" s="1391" t="s">
        <v>323</v>
      </c>
      <c r="B1" s="1391"/>
      <c r="C1" s="1391"/>
      <c r="D1" s="1391"/>
      <c r="E1" s="1391"/>
      <c r="F1" s="1391"/>
      <c r="G1" s="1391"/>
      <c r="H1" s="1391"/>
    </row>
    <row r="2" spans="1:14" ht="16.5" thickBot="1">
      <c r="A2" s="1402" t="s">
        <v>216</v>
      </c>
      <c r="B2" s="1404" t="s">
        <v>217</v>
      </c>
      <c r="C2" s="1396" t="s">
        <v>218</v>
      </c>
      <c r="D2" s="1397"/>
      <c r="E2" s="1396" t="s">
        <v>271</v>
      </c>
      <c r="F2" s="1397"/>
      <c r="G2" s="1396" t="s">
        <v>319</v>
      </c>
      <c r="H2" s="1397"/>
      <c r="I2" s="1398" t="s">
        <v>362</v>
      </c>
      <c r="J2" s="1399"/>
      <c r="K2" s="1398" t="s">
        <v>492</v>
      </c>
      <c r="L2" s="1399"/>
      <c r="M2" s="1398" t="s">
        <v>493</v>
      </c>
      <c r="N2" s="1399"/>
    </row>
    <row r="3" spans="1:14" ht="63.75" customHeight="1" thickBot="1">
      <c r="A3" s="1403"/>
      <c r="B3" s="1405"/>
      <c r="C3" s="463" t="s">
        <v>321</v>
      </c>
      <c r="D3" s="461" t="s">
        <v>322</v>
      </c>
      <c r="E3" s="462" t="s">
        <v>321</v>
      </c>
      <c r="F3" s="461" t="s">
        <v>322</v>
      </c>
      <c r="G3" s="462" t="s">
        <v>321</v>
      </c>
      <c r="H3" s="461" t="s">
        <v>322</v>
      </c>
      <c r="I3" s="462" t="s">
        <v>321</v>
      </c>
      <c r="J3" s="461" t="s">
        <v>322</v>
      </c>
      <c r="K3" s="462" t="s">
        <v>321</v>
      </c>
      <c r="L3" s="461" t="s">
        <v>322</v>
      </c>
      <c r="M3" s="462" t="s">
        <v>321</v>
      </c>
      <c r="N3" s="461" t="s">
        <v>322</v>
      </c>
    </row>
    <row r="4" spans="1:14" ht="15.75">
      <c r="A4" s="473">
        <v>1</v>
      </c>
      <c r="B4" s="464" t="s">
        <v>351</v>
      </c>
      <c r="C4" s="467">
        <v>2</v>
      </c>
      <c r="D4" s="468">
        <v>1</v>
      </c>
      <c r="E4" s="467">
        <v>2</v>
      </c>
      <c r="F4" s="468">
        <v>1</v>
      </c>
      <c r="G4" s="467">
        <v>2</v>
      </c>
      <c r="H4" s="468">
        <v>1.5</v>
      </c>
      <c r="I4" s="467">
        <v>2</v>
      </c>
      <c r="J4" s="923">
        <v>2</v>
      </c>
      <c r="K4" s="467">
        <v>2</v>
      </c>
      <c r="L4" s="923">
        <v>2</v>
      </c>
      <c r="M4" s="467">
        <v>2</v>
      </c>
      <c r="N4" s="923">
        <v>2</v>
      </c>
    </row>
    <row r="5" spans="1:14" ht="15.75">
      <c r="A5" s="474">
        <v>2</v>
      </c>
      <c r="B5" s="465" t="s">
        <v>330</v>
      </c>
      <c r="C5" s="328">
        <v>2</v>
      </c>
      <c r="D5" s="337">
        <v>4</v>
      </c>
      <c r="E5" s="328">
        <v>1</v>
      </c>
      <c r="F5" s="337">
        <v>1</v>
      </c>
      <c r="G5" s="328">
        <v>0</v>
      </c>
      <c r="H5" s="338">
        <v>0</v>
      </c>
      <c r="I5" s="918">
        <v>1</v>
      </c>
      <c r="J5" s="919">
        <v>1</v>
      </c>
      <c r="K5" s="918">
        <v>1</v>
      </c>
      <c r="L5" s="919">
        <v>1.2</v>
      </c>
      <c r="M5" s="918">
        <v>1</v>
      </c>
      <c r="N5" s="919">
        <v>1.5</v>
      </c>
    </row>
    <row r="6" spans="1:14" ht="15.75">
      <c r="A6" s="475">
        <v>3</v>
      </c>
      <c r="B6" s="362" t="s">
        <v>315</v>
      </c>
      <c r="C6" s="327">
        <v>0</v>
      </c>
      <c r="D6" s="337">
        <v>0</v>
      </c>
      <c r="E6" s="328">
        <v>2</v>
      </c>
      <c r="F6" s="337">
        <v>3.5</v>
      </c>
      <c r="G6" s="328">
        <v>2</v>
      </c>
      <c r="H6" s="338">
        <v>4</v>
      </c>
      <c r="I6" s="328">
        <v>2</v>
      </c>
      <c r="J6" s="337">
        <v>4.5</v>
      </c>
      <c r="K6" s="328">
        <v>2</v>
      </c>
      <c r="L6" s="337">
        <v>4.5</v>
      </c>
      <c r="M6" s="328">
        <v>2</v>
      </c>
      <c r="N6" s="337">
        <v>4.5</v>
      </c>
    </row>
    <row r="7" spans="1:14" ht="15.75">
      <c r="A7" s="475">
        <v>4</v>
      </c>
      <c r="B7" s="465" t="s">
        <v>314</v>
      </c>
      <c r="C7" s="328">
        <v>4</v>
      </c>
      <c r="D7" s="337">
        <f>31.7-22.04</f>
        <v>9.66</v>
      </c>
      <c r="E7" s="328">
        <v>6</v>
      </c>
      <c r="F7" s="337">
        <v>12</v>
      </c>
      <c r="G7" s="328">
        <v>6</v>
      </c>
      <c r="H7" s="338">
        <v>12</v>
      </c>
      <c r="I7" s="328">
        <v>6</v>
      </c>
      <c r="J7" s="337">
        <v>12</v>
      </c>
      <c r="K7" s="328">
        <v>6</v>
      </c>
      <c r="L7" s="337">
        <v>12</v>
      </c>
      <c r="M7" s="328">
        <v>6</v>
      </c>
      <c r="N7" s="337">
        <v>12</v>
      </c>
    </row>
    <row r="8" spans="1:14" ht="15.75">
      <c r="A8" s="475">
        <v>5</v>
      </c>
      <c r="B8" s="362" t="s">
        <v>316</v>
      </c>
      <c r="C8" s="469">
        <v>1</v>
      </c>
      <c r="D8" s="337">
        <v>0.6</v>
      </c>
      <c r="E8" s="328">
        <v>1</v>
      </c>
      <c r="F8" s="337">
        <v>0.6</v>
      </c>
      <c r="G8" s="328">
        <v>1</v>
      </c>
      <c r="H8" s="337">
        <v>0.7</v>
      </c>
      <c r="I8" s="328">
        <v>1</v>
      </c>
      <c r="J8" s="337">
        <v>0.7</v>
      </c>
      <c r="K8" s="328">
        <v>1</v>
      </c>
      <c r="L8" s="337">
        <v>0.7</v>
      </c>
      <c r="M8" s="328">
        <v>1</v>
      </c>
      <c r="N8" s="337">
        <v>0.7</v>
      </c>
    </row>
    <row r="9" spans="1:14" ht="15.75">
      <c r="A9" s="475">
        <v>6</v>
      </c>
      <c r="B9" s="362" t="s">
        <v>317</v>
      </c>
      <c r="C9" s="469">
        <v>4</v>
      </c>
      <c r="D9" s="337">
        <v>1.2</v>
      </c>
      <c r="E9" s="328">
        <v>4</v>
      </c>
      <c r="F9" s="337">
        <v>2.4</v>
      </c>
      <c r="G9" s="328">
        <v>4</v>
      </c>
      <c r="H9" s="337">
        <v>2.7</v>
      </c>
      <c r="I9" s="328">
        <v>4</v>
      </c>
      <c r="J9" s="337">
        <v>2.7</v>
      </c>
      <c r="K9" s="328">
        <v>4</v>
      </c>
      <c r="L9" s="337">
        <v>2.7</v>
      </c>
      <c r="M9" s="328">
        <v>4</v>
      </c>
      <c r="N9" s="337">
        <v>2.7</v>
      </c>
    </row>
    <row r="10" spans="1:14" ht="15.75">
      <c r="A10" s="475">
        <v>7</v>
      </c>
      <c r="B10" s="362" t="s">
        <v>336</v>
      </c>
      <c r="C10" s="469">
        <v>1</v>
      </c>
      <c r="D10" s="337">
        <v>0.45</v>
      </c>
      <c r="E10" s="328">
        <v>2</v>
      </c>
      <c r="F10" s="337">
        <v>1.2</v>
      </c>
      <c r="G10" s="328">
        <v>2</v>
      </c>
      <c r="H10" s="337">
        <v>1.5</v>
      </c>
      <c r="I10" s="328">
        <v>2</v>
      </c>
      <c r="J10" s="337">
        <v>1.5</v>
      </c>
      <c r="K10" s="328">
        <v>2</v>
      </c>
      <c r="L10" s="337">
        <v>1.5</v>
      </c>
      <c r="M10" s="328">
        <v>2</v>
      </c>
      <c r="N10" s="337">
        <v>1.5</v>
      </c>
    </row>
    <row r="11" spans="1:14" ht="15.75">
      <c r="A11" s="475">
        <v>8</v>
      </c>
      <c r="B11" s="362" t="s">
        <v>318</v>
      </c>
      <c r="C11" s="469">
        <v>1</v>
      </c>
      <c r="D11" s="337">
        <v>0.4</v>
      </c>
      <c r="E11" s="328">
        <v>1</v>
      </c>
      <c r="F11" s="337">
        <v>0.55</v>
      </c>
      <c r="G11" s="328">
        <v>0.7</v>
      </c>
      <c r="H11" s="337">
        <v>0.6</v>
      </c>
      <c r="I11" s="328">
        <v>0.7</v>
      </c>
      <c r="J11" s="337">
        <v>0.75</v>
      </c>
      <c r="K11" s="328">
        <v>0.7</v>
      </c>
      <c r="L11" s="337">
        <v>0.75</v>
      </c>
      <c r="M11" s="328">
        <v>0.7</v>
      </c>
      <c r="N11" s="337">
        <v>0.75</v>
      </c>
    </row>
    <row r="12" spans="1:14" ht="15.75">
      <c r="A12" s="475">
        <v>9</v>
      </c>
      <c r="B12" s="362" t="s">
        <v>318</v>
      </c>
      <c r="C12" s="469">
        <v>1</v>
      </c>
      <c r="D12" s="337">
        <v>0.45</v>
      </c>
      <c r="E12" s="328">
        <v>1</v>
      </c>
      <c r="F12" s="337">
        <v>0.6</v>
      </c>
      <c r="G12" s="328">
        <v>0.75</v>
      </c>
      <c r="H12" s="337">
        <v>0.75</v>
      </c>
      <c r="I12" s="328">
        <v>0.75</v>
      </c>
      <c r="J12" s="337">
        <v>0.8</v>
      </c>
      <c r="K12" s="328">
        <v>0.75</v>
      </c>
      <c r="L12" s="337">
        <v>0.8</v>
      </c>
      <c r="M12" s="328">
        <v>0.75</v>
      </c>
      <c r="N12" s="337">
        <v>0.8</v>
      </c>
    </row>
    <row r="13" spans="1:14" ht="15.75">
      <c r="A13" s="475">
        <v>10</v>
      </c>
      <c r="B13" s="362" t="s">
        <v>332</v>
      </c>
      <c r="C13" s="327">
        <v>1</v>
      </c>
      <c r="D13" s="337">
        <v>0.4</v>
      </c>
      <c r="E13" s="328">
        <v>1</v>
      </c>
      <c r="F13" s="337">
        <v>0.5</v>
      </c>
      <c r="G13" s="328">
        <v>1</v>
      </c>
      <c r="H13" s="337">
        <v>0.5</v>
      </c>
      <c r="I13" s="328">
        <v>1</v>
      </c>
      <c r="J13" s="337">
        <v>0.6</v>
      </c>
      <c r="K13" s="328">
        <v>1</v>
      </c>
      <c r="L13" s="337">
        <v>0.6</v>
      </c>
      <c r="M13" s="328">
        <v>1</v>
      </c>
      <c r="N13" s="337">
        <v>0.6</v>
      </c>
    </row>
    <row r="14" spans="1:14" ht="16.5" thickBot="1">
      <c r="A14" s="476">
        <v>11</v>
      </c>
      <c r="B14" s="466" t="s">
        <v>333</v>
      </c>
      <c r="C14" s="470">
        <v>1</v>
      </c>
      <c r="D14" s="471">
        <v>0.4</v>
      </c>
      <c r="E14" s="472">
        <v>1</v>
      </c>
      <c r="F14" s="471">
        <v>0.5</v>
      </c>
      <c r="G14" s="472">
        <v>1</v>
      </c>
      <c r="H14" s="471">
        <v>0.55</v>
      </c>
      <c r="I14" s="472">
        <v>1</v>
      </c>
      <c r="J14" s="471">
        <v>0.75</v>
      </c>
      <c r="K14" s="472">
        <v>1</v>
      </c>
      <c r="L14" s="471">
        <v>0.75</v>
      </c>
      <c r="M14" s="472">
        <v>1</v>
      </c>
      <c r="N14" s="471">
        <v>0.75</v>
      </c>
    </row>
    <row r="15" spans="1:14" ht="16.5" thickBot="1">
      <c r="A15" s="1400" t="s">
        <v>222</v>
      </c>
      <c r="B15" s="1401"/>
      <c r="C15" s="332">
        <f>SUM(C5:C14)</f>
        <v>16</v>
      </c>
      <c r="D15" s="342">
        <f>SUM(D4:D14)</f>
        <v>18.559999999999995</v>
      </c>
      <c r="E15" s="341">
        <f>SUM(E5:E14)</f>
        <v>20</v>
      </c>
      <c r="F15" s="342">
        <f>SUM(F4:F14)</f>
        <v>23.85</v>
      </c>
      <c r="G15" s="341">
        <f>SUM(G5:G14)</f>
        <v>18.45</v>
      </c>
      <c r="H15" s="342">
        <f>SUM(H4:H14)</f>
        <v>24.8</v>
      </c>
      <c r="I15" s="341">
        <f>SUM(I5:I14)</f>
        <v>19.45</v>
      </c>
      <c r="J15" s="342">
        <f>SUM(J4:J14)</f>
        <v>27.3</v>
      </c>
      <c r="K15" s="341">
        <f>SUM(K5:K14)</f>
        <v>19.45</v>
      </c>
      <c r="L15" s="924">
        <f>SUM(L4:L14)</f>
        <v>27.5</v>
      </c>
      <c r="M15" s="341">
        <f>SUM(M5:M14)</f>
        <v>19.45</v>
      </c>
      <c r="N15" s="342">
        <f>SUM(N4:N14)</f>
        <v>27.8</v>
      </c>
    </row>
    <row r="19" spans="2:3" ht="15.75">
      <c r="B19" s="220"/>
      <c r="C19" s="221"/>
    </row>
    <row r="20" spans="2:3" ht="15.75">
      <c r="B20" s="220"/>
      <c r="C20" s="221"/>
    </row>
    <row r="21" spans="2:3" ht="15.75">
      <c r="B21" s="220"/>
      <c r="C21" s="221"/>
    </row>
    <row r="22" spans="2:3" ht="15.75">
      <c r="B22" s="220"/>
      <c r="C22" s="221"/>
    </row>
    <row r="23" spans="2:3" ht="15.75">
      <c r="B23" s="220"/>
      <c r="C23" s="221"/>
    </row>
    <row r="24" spans="2:3" ht="15.75">
      <c r="B24" s="220"/>
      <c r="C24" s="221"/>
    </row>
    <row r="25" spans="2:3" ht="15.75">
      <c r="B25" s="220"/>
      <c r="C25" s="221"/>
    </row>
    <row r="26" spans="2:3" ht="15.75">
      <c r="B26" s="220"/>
      <c r="C26" s="221"/>
    </row>
    <row r="27" spans="2:3" ht="15.75">
      <c r="B27" s="220"/>
      <c r="C27" s="221"/>
    </row>
    <row r="28" spans="2:3" ht="15.75">
      <c r="B28" s="220"/>
      <c r="C28" s="221"/>
    </row>
    <row r="29" spans="2:3" ht="15.75">
      <c r="B29" s="220"/>
      <c r="C29" s="221"/>
    </row>
    <row r="30" spans="2:3" ht="15.75">
      <c r="B30" s="220"/>
      <c r="C30" s="221"/>
    </row>
    <row r="31" spans="2:3" ht="15.75">
      <c r="B31" s="220"/>
      <c r="C31" s="221"/>
    </row>
    <row r="32" spans="2:3" ht="15.75">
      <c r="B32" s="220"/>
      <c r="C32" s="221"/>
    </row>
    <row r="33" spans="2:3" ht="15.75">
      <c r="B33" s="220"/>
      <c r="C33" s="221"/>
    </row>
    <row r="34" spans="2:3" ht="15.75">
      <c r="B34" s="220"/>
      <c r="C34" s="221"/>
    </row>
    <row r="35" spans="2:3" ht="15.75">
      <c r="B35" s="220"/>
      <c r="C35" s="221"/>
    </row>
    <row r="36" spans="2:3" ht="15.75">
      <c r="B36" s="220"/>
      <c r="C36" s="221"/>
    </row>
    <row r="37" spans="2:3" ht="15.75">
      <c r="B37" s="220"/>
      <c r="C37" s="221"/>
    </row>
    <row r="38" spans="2:3" ht="15.75">
      <c r="B38" s="220"/>
      <c r="C38" s="221"/>
    </row>
    <row r="39" spans="2:3" ht="15.75">
      <c r="B39" s="220"/>
      <c r="C39" s="221"/>
    </row>
    <row r="40" spans="2:3" ht="15.75">
      <c r="B40" s="220"/>
      <c r="C40" s="221"/>
    </row>
    <row r="41" spans="2:3" ht="15.75">
      <c r="B41" s="220"/>
      <c r="C41" s="221"/>
    </row>
    <row r="42" spans="2:3" ht="15.75">
      <c r="B42" s="220"/>
      <c r="C42" s="221"/>
    </row>
    <row r="43" spans="2:3" ht="15.75">
      <c r="B43" s="220"/>
      <c r="C43" s="221"/>
    </row>
    <row r="44" spans="2:3" ht="15.75">
      <c r="B44" s="220"/>
      <c r="C44" s="221"/>
    </row>
    <row r="45" spans="2:3" ht="15.75">
      <c r="B45" s="220"/>
      <c r="C45" s="221"/>
    </row>
    <row r="46" spans="2:3" ht="15.75">
      <c r="B46" s="220"/>
      <c r="C46" s="221"/>
    </row>
    <row r="47" spans="2:3" ht="15.75">
      <c r="B47" s="220"/>
      <c r="C47" s="221"/>
    </row>
    <row r="48" spans="2:3" ht="15.75">
      <c r="B48" s="220"/>
      <c r="C48" s="221"/>
    </row>
    <row r="49" spans="2:3" ht="15.75">
      <c r="B49" s="220"/>
      <c r="C49" s="221"/>
    </row>
    <row r="50" spans="2:3" ht="15.75">
      <c r="B50" s="220"/>
      <c r="C50" s="221"/>
    </row>
    <row r="51" spans="2:3" ht="15.75">
      <c r="B51" s="220"/>
      <c r="C51" s="221"/>
    </row>
    <row r="52" spans="2:3" ht="15.75">
      <c r="B52" s="220"/>
      <c r="C52" s="221"/>
    </row>
    <row r="53" spans="2:3" ht="15.75">
      <c r="B53" s="220"/>
      <c r="C53" s="221"/>
    </row>
    <row r="54" spans="2:3" ht="15.75">
      <c r="B54" s="220"/>
      <c r="C54" s="221"/>
    </row>
    <row r="55" spans="2:3" ht="15.75">
      <c r="B55" s="220"/>
      <c r="C55" s="221"/>
    </row>
    <row r="56" spans="2:3" ht="15.75">
      <c r="B56" s="220"/>
      <c r="C56" s="221"/>
    </row>
    <row r="57" spans="2:3" ht="15.75">
      <c r="B57" s="220"/>
      <c r="C57" s="221"/>
    </row>
    <row r="58" spans="2:3" ht="15.75">
      <c r="B58" s="222"/>
      <c r="C58" s="221"/>
    </row>
    <row r="59" spans="2:3" ht="15.75">
      <c r="B59" s="221"/>
      <c r="C59" s="221"/>
    </row>
  </sheetData>
  <sheetProtection/>
  <mergeCells count="10">
    <mergeCell ref="K2:L2"/>
    <mergeCell ref="M2:N2"/>
    <mergeCell ref="I2:J2"/>
    <mergeCell ref="A15:B15"/>
    <mergeCell ref="A1:H1"/>
    <mergeCell ref="A2:A3"/>
    <mergeCell ref="B2:B3"/>
    <mergeCell ref="C2:D2"/>
    <mergeCell ref="E2:F2"/>
    <mergeCell ref="G2:H2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A3" sqref="A3:P3"/>
    </sheetView>
  </sheetViews>
  <sheetFormatPr defaultColWidth="12.375" defaultRowHeight="12.75"/>
  <cols>
    <col min="1" max="1" width="5.625" style="212" customWidth="1"/>
    <col min="2" max="2" width="27.875" style="212" customWidth="1"/>
    <col min="3" max="3" width="13.75390625" style="212" hidden="1" customWidth="1"/>
    <col min="4" max="4" width="17.125" style="212" hidden="1" customWidth="1"/>
    <col min="5" max="5" width="16.00390625" style="212" hidden="1" customWidth="1"/>
    <col min="6" max="6" width="16.75390625" style="212" hidden="1" customWidth="1"/>
    <col min="7" max="7" width="17.00390625" style="212" customWidth="1"/>
    <col min="8" max="8" width="17.375" style="212" customWidth="1"/>
    <col min="9" max="9" width="16.75390625" style="212" customWidth="1"/>
    <col min="10" max="10" width="16.125" style="212" customWidth="1"/>
    <col min="11" max="11" width="13.75390625" style="212" customWidth="1"/>
    <col min="12" max="12" width="16.125" style="212" customWidth="1"/>
    <col min="13" max="13" width="15.00390625" style="212" customWidth="1"/>
    <col min="14" max="14" width="15.25390625" style="212" customWidth="1"/>
    <col min="15" max="16384" width="12.375" style="212" customWidth="1"/>
  </cols>
  <sheetData>
    <row r="1" spans="2:8" ht="15.75">
      <c r="B1" s="1407" t="s">
        <v>64</v>
      </c>
      <c r="C1" s="1407"/>
      <c r="D1" s="1407"/>
      <c r="E1" s="1407"/>
      <c r="F1" s="1407"/>
      <c r="G1" s="1407"/>
      <c r="H1" s="1407"/>
    </row>
    <row r="2" spans="1:14" ht="15.75">
      <c r="A2" s="1408" t="s">
        <v>216</v>
      </c>
      <c r="B2" s="1410" t="s">
        <v>217</v>
      </c>
      <c r="C2" s="1411" t="s">
        <v>218</v>
      </c>
      <c r="D2" s="1412"/>
      <c r="E2" s="1411" t="s">
        <v>271</v>
      </c>
      <c r="F2" s="1412"/>
      <c r="G2" s="1413" t="s">
        <v>319</v>
      </c>
      <c r="H2" s="1413"/>
      <c r="I2" s="1406" t="s">
        <v>362</v>
      </c>
      <c r="J2" s="1406"/>
      <c r="K2" s="1406" t="s">
        <v>492</v>
      </c>
      <c r="L2" s="1406"/>
      <c r="M2" s="1406" t="s">
        <v>493</v>
      </c>
      <c r="N2" s="1406"/>
    </row>
    <row r="3" spans="1:14" ht="78.75">
      <c r="A3" s="1409"/>
      <c r="B3" s="1410"/>
      <c r="C3" s="213" t="s">
        <v>495</v>
      </c>
      <c r="D3" s="214" t="s">
        <v>223</v>
      </c>
      <c r="E3" s="213" t="s">
        <v>495</v>
      </c>
      <c r="F3" s="214" t="s">
        <v>223</v>
      </c>
      <c r="G3" s="213" t="s">
        <v>495</v>
      </c>
      <c r="H3" s="214" t="s">
        <v>223</v>
      </c>
      <c r="I3" s="213" t="s">
        <v>495</v>
      </c>
      <c r="J3" s="214" t="s">
        <v>223</v>
      </c>
      <c r="K3" s="213" t="s">
        <v>495</v>
      </c>
      <c r="L3" s="214" t="s">
        <v>223</v>
      </c>
      <c r="M3" s="213" t="s">
        <v>495</v>
      </c>
      <c r="N3" s="214" t="s">
        <v>223</v>
      </c>
    </row>
    <row r="4" spans="1:14" ht="15.75">
      <c r="A4" s="363">
        <v>1</v>
      </c>
      <c r="B4" s="364" t="s">
        <v>224</v>
      </c>
      <c r="C4" s="540">
        <v>3</v>
      </c>
      <c r="D4" s="541">
        <v>13</v>
      </c>
      <c r="E4" s="540">
        <v>4</v>
      </c>
      <c r="F4" s="541">
        <v>15</v>
      </c>
      <c r="G4" s="365">
        <v>2</v>
      </c>
      <c r="H4" s="366">
        <v>5</v>
      </c>
      <c r="I4" s="921">
        <v>1</v>
      </c>
      <c r="J4" s="922">
        <v>2.8</v>
      </c>
      <c r="K4" s="921">
        <v>1</v>
      </c>
      <c r="L4" s="922">
        <v>2.9</v>
      </c>
      <c r="M4" s="921">
        <v>1</v>
      </c>
      <c r="N4" s="922">
        <v>2.5</v>
      </c>
    </row>
    <row r="5" spans="1:14" ht="15.75">
      <c r="A5" s="363">
        <v>2</v>
      </c>
      <c r="B5" s="364" t="s">
        <v>225</v>
      </c>
      <c r="C5" s="365">
        <v>16</v>
      </c>
      <c r="D5" s="366">
        <v>7</v>
      </c>
      <c r="E5" s="365">
        <v>8</v>
      </c>
      <c r="F5" s="366">
        <v>4</v>
      </c>
      <c r="G5" s="365">
        <v>4</v>
      </c>
      <c r="H5" s="366">
        <v>2</v>
      </c>
      <c r="I5" s="365">
        <v>4</v>
      </c>
      <c r="J5" s="366">
        <v>2</v>
      </c>
      <c r="K5" s="365">
        <v>4</v>
      </c>
      <c r="L5" s="366">
        <v>2</v>
      </c>
      <c r="M5" s="365">
        <v>4</v>
      </c>
      <c r="N5" s="366">
        <v>2</v>
      </c>
    </row>
    <row r="6" spans="1:14" ht="15.75">
      <c r="A6" s="363">
        <v>3</v>
      </c>
      <c r="B6" s="364" t="s">
        <v>226</v>
      </c>
      <c r="C6" s="365">
        <v>9</v>
      </c>
      <c r="D6" s="366">
        <v>13.972</v>
      </c>
      <c r="E6" s="365">
        <v>6</v>
      </c>
      <c r="F6" s="366">
        <v>0.842</v>
      </c>
      <c r="G6" s="365">
        <v>8</v>
      </c>
      <c r="H6" s="366">
        <v>12</v>
      </c>
      <c r="I6" s="365">
        <v>8</v>
      </c>
      <c r="J6" s="366">
        <v>12</v>
      </c>
      <c r="K6" s="365">
        <v>8</v>
      </c>
      <c r="L6" s="366">
        <v>12</v>
      </c>
      <c r="M6" s="365">
        <v>8</v>
      </c>
      <c r="N6" s="366">
        <v>12</v>
      </c>
    </row>
    <row r="7" spans="1:14" ht="15.75">
      <c r="A7" s="363">
        <v>4</v>
      </c>
      <c r="B7" s="364" t="s">
        <v>227</v>
      </c>
      <c r="C7" s="365">
        <v>2</v>
      </c>
      <c r="D7" s="366">
        <v>0.153</v>
      </c>
      <c r="E7" s="365">
        <v>2</v>
      </c>
      <c r="F7" s="366">
        <v>0.6</v>
      </c>
      <c r="G7" s="365">
        <v>1</v>
      </c>
      <c r="H7" s="366">
        <v>1</v>
      </c>
      <c r="I7" s="365">
        <v>1</v>
      </c>
      <c r="J7" s="366">
        <v>1</v>
      </c>
      <c r="K7" s="365">
        <v>1</v>
      </c>
      <c r="L7" s="366">
        <v>1</v>
      </c>
      <c r="M7" s="365">
        <v>1</v>
      </c>
      <c r="N7" s="366">
        <v>1</v>
      </c>
    </row>
    <row r="8" spans="1:14" ht="15.75">
      <c r="A8" s="215"/>
      <c r="B8" s="216" t="s">
        <v>222</v>
      </c>
      <c r="C8" s="217">
        <f aca="true" t="shared" si="0" ref="C8:H8">SUM(C4:C7)</f>
        <v>30</v>
      </c>
      <c r="D8" s="218">
        <f t="shared" si="0"/>
        <v>34.125</v>
      </c>
      <c r="E8" s="219">
        <f t="shared" si="0"/>
        <v>20</v>
      </c>
      <c r="F8" s="219">
        <f t="shared" si="0"/>
        <v>20.442</v>
      </c>
      <c r="G8" s="219">
        <f t="shared" si="0"/>
        <v>15</v>
      </c>
      <c r="H8" s="219">
        <f t="shared" si="0"/>
        <v>20</v>
      </c>
      <c r="I8" s="219">
        <f aca="true" t="shared" si="1" ref="I8:N8">SUM(I4:I7)</f>
        <v>14</v>
      </c>
      <c r="J8" s="219">
        <f t="shared" si="1"/>
        <v>17.8</v>
      </c>
      <c r="K8" s="219">
        <f t="shared" si="1"/>
        <v>14</v>
      </c>
      <c r="L8" s="219">
        <f t="shared" si="1"/>
        <v>17.9</v>
      </c>
      <c r="M8" s="219">
        <f t="shared" si="1"/>
        <v>14</v>
      </c>
      <c r="N8" s="219">
        <f t="shared" si="1"/>
        <v>17.5</v>
      </c>
    </row>
    <row r="12" spans="2:3" ht="15.75">
      <c r="B12" s="220"/>
      <c r="C12" s="221"/>
    </row>
    <row r="13" spans="2:3" ht="15.75">
      <c r="B13" s="220"/>
      <c r="C13" s="221"/>
    </row>
    <row r="14" spans="2:3" ht="15.75">
      <c r="B14" s="220"/>
      <c r="C14" s="221"/>
    </row>
    <row r="15" spans="2:3" ht="15.75">
      <c r="B15" s="220"/>
      <c r="C15" s="221"/>
    </row>
    <row r="16" spans="2:3" ht="15.75">
      <c r="B16" s="220"/>
      <c r="C16" s="221"/>
    </row>
    <row r="17" spans="2:3" ht="15.75">
      <c r="B17" s="220"/>
      <c r="C17" s="221"/>
    </row>
    <row r="18" spans="2:3" ht="15.75">
      <c r="B18" s="220"/>
      <c r="C18" s="221"/>
    </row>
    <row r="19" spans="2:3" ht="15.75">
      <c r="B19" s="220"/>
      <c r="C19" s="221"/>
    </row>
    <row r="20" spans="2:3" ht="15.75">
      <c r="B20" s="220"/>
      <c r="C20" s="221"/>
    </row>
    <row r="21" spans="2:3" ht="15.75">
      <c r="B21" s="220"/>
      <c r="C21" s="221"/>
    </row>
    <row r="22" spans="2:3" ht="15.75">
      <c r="B22" s="220"/>
      <c r="C22" s="221"/>
    </row>
    <row r="23" spans="2:3" ht="15.75">
      <c r="B23" s="220"/>
      <c r="C23" s="221"/>
    </row>
    <row r="24" spans="2:3" ht="15.75">
      <c r="B24" s="220"/>
      <c r="C24" s="221"/>
    </row>
    <row r="25" spans="2:3" ht="15.75">
      <c r="B25" s="220"/>
      <c r="C25" s="221"/>
    </row>
    <row r="26" spans="2:3" ht="15.75">
      <c r="B26" s="220"/>
      <c r="C26" s="221"/>
    </row>
    <row r="27" spans="2:3" ht="15.75">
      <c r="B27" s="220"/>
      <c r="C27" s="221"/>
    </row>
    <row r="28" spans="2:3" ht="15.75">
      <c r="B28" s="220"/>
      <c r="C28" s="221"/>
    </row>
    <row r="29" spans="2:3" ht="15.75">
      <c r="B29" s="220"/>
      <c r="C29" s="221"/>
    </row>
    <row r="30" spans="2:3" ht="15.75">
      <c r="B30" s="220"/>
      <c r="C30" s="221"/>
    </row>
    <row r="31" spans="2:3" ht="15.75">
      <c r="B31" s="220"/>
      <c r="C31" s="221"/>
    </row>
    <row r="32" spans="2:3" ht="15.75">
      <c r="B32" s="220"/>
      <c r="C32" s="221"/>
    </row>
    <row r="33" spans="2:3" ht="15.75">
      <c r="B33" s="220"/>
      <c r="C33" s="221"/>
    </row>
    <row r="34" spans="2:3" ht="15.75">
      <c r="B34" s="220"/>
      <c r="C34" s="221"/>
    </row>
    <row r="35" spans="2:3" ht="15.75">
      <c r="B35" s="220"/>
      <c r="C35" s="221"/>
    </row>
    <row r="36" spans="2:3" ht="15.75">
      <c r="B36" s="220"/>
      <c r="C36" s="221"/>
    </row>
    <row r="37" spans="2:3" ht="15.75">
      <c r="B37" s="220"/>
      <c r="C37" s="221"/>
    </row>
    <row r="38" spans="2:3" ht="15.75">
      <c r="B38" s="220"/>
      <c r="C38" s="221"/>
    </row>
    <row r="39" spans="2:3" ht="15.75">
      <c r="B39" s="220"/>
      <c r="C39" s="221"/>
    </row>
    <row r="40" spans="2:3" ht="15.75">
      <c r="B40" s="220"/>
      <c r="C40" s="221"/>
    </row>
    <row r="41" spans="2:3" ht="15.75">
      <c r="B41" s="220"/>
      <c r="C41" s="221"/>
    </row>
    <row r="42" spans="2:3" ht="15.75">
      <c r="B42" s="220"/>
      <c r="C42" s="221"/>
    </row>
    <row r="43" spans="2:3" ht="15.75">
      <c r="B43" s="220"/>
      <c r="C43" s="221"/>
    </row>
    <row r="44" spans="2:3" ht="15.75">
      <c r="B44" s="220"/>
      <c r="C44" s="221"/>
    </row>
    <row r="45" spans="2:3" ht="15.75">
      <c r="B45" s="220"/>
      <c r="C45" s="221"/>
    </row>
    <row r="46" spans="2:3" ht="15.75">
      <c r="B46" s="220"/>
      <c r="C46" s="221"/>
    </row>
    <row r="47" spans="2:3" ht="15.75">
      <c r="B47" s="220"/>
      <c r="C47" s="221"/>
    </row>
    <row r="48" spans="2:3" ht="15.75">
      <c r="B48" s="220"/>
      <c r="C48" s="221"/>
    </row>
    <row r="49" spans="2:3" ht="15.75">
      <c r="B49" s="220"/>
      <c r="C49" s="221"/>
    </row>
    <row r="50" spans="2:3" ht="15.75">
      <c r="B50" s="220"/>
      <c r="C50" s="221"/>
    </row>
    <row r="51" spans="2:3" ht="15.75">
      <c r="B51" s="222"/>
      <c r="C51" s="221"/>
    </row>
    <row r="52" spans="2:3" ht="15.75">
      <c r="B52" s="221"/>
      <c r="C52" s="221"/>
    </row>
  </sheetData>
  <sheetProtection/>
  <mergeCells count="9">
    <mergeCell ref="K2:L2"/>
    <mergeCell ref="M2:N2"/>
    <mergeCell ref="I2:J2"/>
    <mergeCell ref="B1:H1"/>
    <mergeCell ref="A2:A3"/>
    <mergeCell ref="B2:B3"/>
    <mergeCell ref="C2:D2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fino-10</dc:creator>
  <cp:keywords/>
  <dc:description/>
  <cp:lastModifiedBy>Евгений C. Петров</cp:lastModifiedBy>
  <cp:lastPrinted>2018-11-14T21:31:12Z</cp:lastPrinted>
  <dcterms:created xsi:type="dcterms:W3CDTF">2010-11-15T22:03:29Z</dcterms:created>
  <dcterms:modified xsi:type="dcterms:W3CDTF">2018-11-15T02:58:52Z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